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92" windowWidth="18888" windowHeight="6300" firstSheet="4" activeTab="6"/>
  </bookViews>
  <sheets>
    <sheet name="Приложение № 1 конс." sheetId="2" r:id="rId1"/>
    <sheet name="Приложение № 1.1 Доходы к 2014" sheetId="12" r:id="rId2"/>
    <sheet name="Приложение № 2 бюджеты МО" sheetId="5" r:id="rId3"/>
    <sheet name="Приложение № 3 доходы МО" sheetId="6" r:id="rId4"/>
    <sheet name="Приложение № 4 выравн." sheetId="8" r:id="rId5"/>
    <sheet name="Приложение № 5 расходы конс." sheetId="7" r:id="rId6"/>
    <sheet name="Приложение № 6 зарплата" sheetId="9" r:id="rId7"/>
    <sheet name="Приложение № 7 инвестиции МО" sheetId="11" r:id="rId8"/>
    <sheet name="Приложение № 8 расходы ГРБС" sheetId="3" r:id="rId9"/>
    <sheet name="Прилоежние № 9 планы ФХД" sheetId="10" r:id="rId10"/>
    <sheet name="Приложение № 10 программы" sheetId="1" r:id="rId11"/>
    <sheet name="Приложение № 11 здрав" sheetId="4" r:id="rId12"/>
  </sheets>
  <externalReferences>
    <externalReference r:id="rId13"/>
    <externalReference r:id="rId14"/>
  </externalReferences>
  <definedNames>
    <definedName name="_xlnm._FilterDatabase" localSheetId="10" hidden="1">'Приложение № 10 программы'!$A$8:$Q$31</definedName>
    <definedName name="_xlnm._FilterDatabase" localSheetId="6" hidden="1">'Приложение № 6 зарплата'!$A$7:$P$36</definedName>
    <definedName name="_xlnm.Print_Titles" localSheetId="9">'Прилоежние № 9 планы ФХД'!$6:$7</definedName>
    <definedName name="_xlnm.Print_Titles" localSheetId="1">'Приложение № 1.1 Доходы к 2014'!$4:$7</definedName>
    <definedName name="_xlnm.Print_Titles" localSheetId="10">'Приложение № 10 программы'!$6:$7</definedName>
    <definedName name="_xlnm.Print_Titles" localSheetId="11">'Приложение № 11 здрав'!$5:$6</definedName>
    <definedName name="_xlnm.Print_Area" localSheetId="9">'Прилоежние № 9 планы ФХД'!$A$1:$Y$27</definedName>
    <definedName name="_xlnm.Print_Area" localSheetId="0">'Приложение № 1 конс.'!$A$1:$AG$148</definedName>
    <definedName name="_xlnm.Print_Area" localSheetId="10">'Приложение № 10 программы'!$A$1:$Q$31</definedName>
    <definedName name="_xlnm.Print_Area" localSheetId="11">'Приложение № 11 здрав'!$A$1:$G$59</definedName>
    <definedName name="_xlnm.Print_Area" localSheetId="2">'Приложение № 2 бюджеты МО'!$A$1:$O$35</definedName>
    <definedName name="_xlnm.Print_Area" localSheetId="3">'Приложение № 3 доходы МО'!$A$1:$T$36</definedName>
    <definedName name="_xlnm.Print_Area" localSheetId="4">'Приложение № 4 выравн.'!$A$1:$P$43</definedName>
    <definedName name="_xlnm.Print_Area" localSheetId="5">'Приложение № 5 расходы конс.'!$A$1:$J$23</definedName>
    <definedName name="_xlnm.Print_Area" localSheetId="6">'Приложение № 6 зарплата'!$A$1:$P$36</definedName>
    <definedName name="_xlnm.Print_Area" localSheetId="8">'Приложение № 8 расходы ГРБС'!$A$1:$J$42</definedName>
  </definedNames>
  <calcPr calcId="145621"/>
</workbook>
</file>

<file path=xl/calcChain.xml><?xml version="1.0" encoding="utf-8"?>
<calcChain xmlns="http://schemas.openxmlformats.org/spreadsheetml/2006/main">
  <c r="Q38" i="2" l="1"/>
  <c r="W38" i="2"/>
  <c r="AC38" i="2"/>
  <c r="S44" i="12" l="1"/>
  <c r="R44" i="12"/>
  <c r="Q44" i="12"/>
  <c r="P44" i="12"/>
  <c r="O44" i="12"/>
  <c r="N44" i="12"/>
  <c r="S43" i="12"/>
  <c r="R43" i="12"/>
  <c r="Q43" i="12"/>
  <c r="P43" i="12"/>
  <c r="O43" i="12"/>
  <c r="N43" i="12"/>
  <c r="S42" i="12"/>
  <c r="R42" i="12"/>
  <c r="Q42" i="12"/>
  <c r="P42" i="12"/>
  <c r="O42" i="12"/>
  <c r="N42" i="12"/>
  <c r="S41" i="12"/>
  <c r="R41" i="12"/>
  <c r="Q41" i="12"/>
  <c r="P41" i="12"/>
  <c r="O41" i="12"/>
  <c r="N41" i="12"/>
  <c r="S40" i="12"/>
  <c r="Q40" i="12"/>
  <c r="P40" i="12"/>
  <c r="O40" i="12"/>
  <c r="N40" i="12"/>
  <c r="S39" i="12"/>
  <c r="R39" i="12"/>
  <c r="Q39" i="12"/>
  <c r="P39" i="12"/>
  <c r="O39" i="12"/>
  <c r="N39" i="12"/>
  <c r="S38" i="12"/>
  <c r="R38" i="12"/>
  <c r="Q38" i="12"/>
  <c r="P38" i="12"/>
  <c r="O38" i="12"/>
  <c r="N38" i="12"/>
  <c r="S37" i="12"/>
  <c r="R37" i="12"/>
  <c r="Q37" i="12"/>
  <c r="P37" i="12"/>
  <c r="O37" i="12"/>
  <c r="N37" i="12"/>
  <c r="S36" i="12"/>
  <c r="P36" i="12"/>
  <c r="O36" i="12"/>
  <c r="N36" i="12"/>
  <c r="S35" i="12"/>
  <c r="R35" i="12"/>
  <c r="Q35" i="12"/>
  <c r="P35" i="12"/>
  <c r="O35" i="12"/>
  <c r="N35" i="12"/>
  <c r="S34" i="12"/>
  <c r="R34" i="12"/>
  <c r="Q34" i="12"/>
  <c r="P34" i="12"/>
  <c r="O34" i="12"/>
  <c r="N34" i="12"/>
  <c r="S33" i="12"/>
  <c r="R33" i="12"/>
  <c r="Q33" i="12"/>
  <c r="P33" i="12"/>
  <c r="O33" i="12"/>
  <c r="N33" i="12"/>
  <c r="S32" i="12"/>
  <c r="R32" i="12"/>
  <c r="Q32" i="12"/>
  <c r="P32" i="12"/>
  <c r="O32" i="12"/>
  <c r="N32" i="12"/>
  <c r="O31" i="12"/>
  <c r="G31" i="12"/>
  <c r="F31" i="12"/>
  <c r="E31" i="12"/>
  <c r="D31" i="12" s="1"/>
  <c r="C31" i="12"/>
  <c r="R31" i="12" s="1"/>
  <c r="B31" i="12"/>
  <c r="N31" i="12" s="1"/>
  <c r="O30" i="12"/>
  <c r="G30" i="12"/>
  <c r="F30" i="12"/>
  <c r="E30" i="12"/>
  <c r="D30" i="12" s="1"/>
  <c r="C30" i="12"/>
  <c r="R30" i="12" s="1"/>
  <c r="B30" i="12"/>
  <c r="N30" i="12" s="1"/>
  <c r="S29" i="12"/>
  <c r="R29" i="12"/>
  <c r="Q29" i="12"/>
  <c r="P29" i="12"/>
  <c r="O29" i="12"/>
  <c r="N29" i="12"/>
  <c r="R28" i="12"/>
  <c r="P28" i="12"/>
  <c r="O28" i="12"/>
  <c r="B28" i="12"/>
  <c r="N28" i="12" s="1"/>
  <c r="R27" i="12"/>
  <c r="P27" i="12"/>
  <c r="O27" i="12"/>
  <c r="N27" i="12"/>
  <c r="B27" i="12"/>
  <c r="Q27" i="12" s="1"/>
  <c r="F26" i="12"/>
  <c r="D26" i="12" s="1"/>
  <c r="E26" i="12"/>
  <c r="C26" i="12"/>
  <c r="O26" i="12" s="1"/>
  <c r="B26" i="12"/>
  <c r="N26" i="12" s="1"/>
  <c r="S25" i="12"/>
  <c r="R25" i="12"/>
  <c r="Q25" i="12"/>
  <c r="P25" i="12"/>
  <c r="O25" i="12"/>
  <c r="N25" i="12"/>
  <c r="S24" i="12"/>
  <c r="R24" i="12"/>
  <c r="Q24" i="12"/>
  <c r="P24" i="12"/>
  <c r="O24" i="12"/>
  <c r="N24" i="12"/>
  <c r="S23" i="12"/>
  <c r="R23" i="12"/>
  <c r="Q23" i="12"/>
  <c r="P23" i="12"/>
  <c r="O23" i="12"/>
  <c r="N23" i="12"/>
  <c r="S22" i="12"/>
  <c r="R22" i="12"/>
  <c r="Q22" i="12"/>
  <c r="P22" i="12"/>
  <c r="O22" i="12"/>
  <c r="N22" i="12"/>
  <c r="R21" i="12"/>
  <c r="P21" i="12"/>
  <c r="O21" i="12"/>
  <c r="B21" i="12"/>
  <c r="N21" i="12" s="1"/>
  <c r="R20" i="12"/>
  <c r="Q20" i="12"/>
  <c r="P20" i="12"/>
  <c r="O20" i="12"/>
  <c r="N20" i="12"/>
  <c r="O19" i="12"/>
  <c r="N19" i="12"/>
  <c r="J19" i="12"/>
  <c r="G19" i="12"/>
  <c r="F19" i="12"/>
  <c r="E19" i="12"/>
  <c r="D19" i="12" s="1"/>
  <c r="B19" i="12"/>
  <c r="Q19" i="12" s="1"/>
  <c r="R18" i="12"/>
  <c r="Q18" i="12"/>
  <c r="O18" i="12"/>
  <c r="N18" i="12"/>
  <c r="J18" i="12"/>
  <c r="P18" i="12" s="1"/>
  <c r="D18" i="12"/>
  <c r="B18" i="12"/>
  <c r="R17" i="12"/>
  <c r="Q17" i="12"/>
  <c r="O17" i="12"/>
  <c r="N17" i="12"/>
  <c r="J17" i="12"/>
  <c r="P17" i="12" s="1"/>
  <c r="D17" i="12"/>
  <c r="B17" i="12"/>
  <c r="Q16" i="12"/>
  <c r="O16" i="12"/>
  <c r="N16" i="12"/>
  <c r="J16" i="12"/>
  <c r="P16" i="12" s="1"/>
  <c r="H16" i="12"/>
  <c r="G16" i="12"/>
  <c r="E16" i="12"/>
  <c r="D16" i="12"/>
  <c r="B16" i="12"/>
  <c r="S15" i="12"/>
  <c r="R15" i="12"/>
  <c r="Q15" i="12"/>
  <c r="P15" i="12"/>
  <c r="O15" i="12"/>
  <c r="N15" i="12"/>
  <c r="S14" i="12"/>
  <c r="R14" i="12"/>
  <c r="Q14" i="12"/>
  <c r="P14" i="12"/>
  <c r="O14" i="12"/>
  <c r="N14" i="12"/>
  <c r="S13" i="12"/>
  <c r="R13" i="12"/>
  <c r="Q13" i="12"/>
  <c r="P13" i="12"/>
  <c r="O13" i="12"/>
  <c r="N13" i="12"/>
  <c r="S12" i="12"/>
  <c r="R12" i="12"/>
  <c r="Q12" i="12"/>
  <c r="P12" i="12"/>
  <c r="O12" i="12"/>
  <c r="N12" i="12"/>
  <c r="R11" i="12"/>
  <c r="Q11" i="12"/>
  <c r="P11" i="12"/>
  <c r="O11" i="12"/>
  <c r="N11" i="12"/>
  <c r="S10" i="12"/>
  <c r="R10" i="12"/>
  <c r="Q10" i="12"/>
  <c r="P10" i="12"/>
  <c r="O10" i="12"/>
  <c r="N10" i="12"/>
  <c r="P26" i="12" l="1"/>
  <c r="S26" i="12"/>
  <c r="P31" i="12"/>
  <c r="S31" i="12"/>
  <c r="P19" i="12"/>
  <c r="S19" i="12"/>
  <c r="P30" i="12"/>
  <c r="S30" i="12"/>
  <c r="Q26" i="12"/>
  <c r="S16" i="12"/>
  <c r="R26" i="12"/>
  <c r="Q28" i="12"/>
  <c r="Q21" i="12"/>
  <c r="Q30" i="12"/>
  <c r="Q31" i="12"/>
  <c r="M8" i="9" l="1"/>
  <c r="U34" i="10" l="1"/>
  <c r="T34" i="10"/>
  <c r="V30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G29" i="10" s="1"/>
  <c r="B11" i="10"/>
  <c r="C10" i="10"/>
  <c r="B10" i="10"/>
  <c r="C9" i="10"/>
  <c r="B9" i="10"/>
  <c r="M28" i="10"/>
  <c r="H28" i="10"/>
  <c r="E28" i="10"/>
  <c r="D28" i="10"/>
  <c r="C8" i="10"/>
  <c r="B8" i="10"/>
  <c r="C27" i="10" l="1"/>
  <c r="C28" i="10" s="1"/>
  <c r="B27" i="10"/>
  <c r="B28" i="10" s="1"/>
  <c r="F28" i="10"/>
  <c r="G28" i="10"/>
  <c r="J32" i="10"/>
  <c r="Q28" i="10" l="1"/>
  <c r="O28" i="10"/>
  <c r="J28" i="10"/>
  <c r="M35" i="9" l="1"/>
  <c r="I35" i="9"/>
  <c r="H35" i="9"/>
  <c r="N35" i="9" s="1"/>
  <c r="G35" i="9"/>
  <c r="D35" i="9"/>
  <c r="L34" i="9"/>
  <c r="K34" i="9"/>
  <c r="K36" i="9" s="1"/>
  <c r="F34" i="9"/>
  <c r="F36" i="9" s="1"/>
  <c r="E34" i="9"/>
  <c r="E36" i="9" s="1"/>
  <c r="C34" i="9"/>
  <c r="B34" i="9"/>
  <c r="B36" i="9" s="1"/>
  <c r="M33" i="9"/>
  <c r="I33" i="9"/>
  <c r="O33" i="9" s="1"/>
  <c r="H33" i="9"/>
  <c r="N33" i="9" s="1"/>
  <c r="G33" i="9"/>
  <c r="D33" i="9"/>
  <c r="M32" i="9"/>
  <c r="I32" i="9"/>
  <c r="H32" i="9"/>
  <c r="N32" i="9" s="1"/>
  <c r="G32" i="9"/>
  <c r="D32" i="9"/>
  <c r="M31" i="9"/>
  <c r="I31" i="9"/>
  <c r="H31" i="9"/>
  <c r="N31" i="9" s="1"/>
  <c r="G31" i="9"/>
  <c r="D31" i="9"/>
  <c r="M30" i="9"/>
  <c r="I30" i="9"/>
  <c r="H30" i="9"/>
  <c r="N30" i="9" s="1"/>
  <c r="G30" i="9"/>
  <c r="D30" i="9"/>
  <c r="M29" i="9"/>
  <c r="I29" i="9"/>
  <c r="H29" i="9"/>
  <c r="G29" i="9"/>
  <c r="D29" i="9"/>
  <c r="M28" i="9"/>
  <c r="I28" i="9"/>
  <c r="H28" i="9"/>
  <c r="N28" i="9" s="1"/>
  <c r="G28" i="9"/>
  <c r="D28" i="9"/>
  <c r="M27" i="9"/>
  <c r="I27" i="9"/>
  <c r="H27" i="9"/>
  <c r="N27" i="9" s="1"/>
  <c r="G27" i="9"/>
  <c r="D27" i="9"/>
  <c r="M26" i="9"/>
  <c r="I26" i="9"/>
  <c r="H26" i="9"/>
  <c r="N26" i="9" s="1"/>
  <c r="G26" i="9"/>
  <c r="D26" i="9"/>
  <c r="M25" i="9"/>
  <c r="I25" i="9"/>
  <c r="H25" i="9"/>
  <c r="N25" i="9" s="1"/>
  <c r="G25" i="9"/>
  <c r="D25" i="9"/>
  <c r="M24" i="9"/>
  <c r="I24" i="9"/>
  <c r="H24" i="9"/>
  <c r="N24" i="9" s="1"/>
  <c r="G24" i="9"/>
  <c r="D24" i="9"/>
  <c r="M23" i="9"/>
  <c r="I23" i="9"/>
  <c r="H23" i="9"/>
  <c r="G23" i="9"/>
  <c r="D23" i="9"/>
  <c r="M22" i="9"/>
  <c r="I22" i="9"/>
  <c r="H22" i="9"/>
  <c r="N22" i="9" s="1"/>
  <c r="G22" i="9"/>
  <c r="D22" i="9"/>
  <c r="M21" i="9"/>
  <c r="I21" i="9"/>
  <c r="O21" i="9" s="1"/>
  <c r="H21" i="9"/>
  <c r="N21" i="9" s="1"/>
  <c r="G21" i="9"/>
  <c r="D21" i="9"/>
  <c r="M20" i="9"/>
  <c r="I20" i="9"/>
  <c r="H20" i="9"/>
  <c r="N20" i="9" s="1"/>
  <c r="G20" i="9"/>
  <c r="D20" i="9"/>
  <c r="M19" i="9"/>
  <c r="I19" i="9"/>
  <c r="H19" i="9"/>
  <c r="N19" i="9" s="1"/>
  <c r="G19" i="9"/>
  <c r="D19" i="9"/>
  <c r="M18" i="9"/>
  <c r="I18" i="9"/>
  <c r="H18" i="9"/>
  <c r="N18" i="9" s="1"/>
  <c r="G18" i="9"/>
  <c r="D18" i="9"/>
  <c r="M17" i="9"/>
  <c r="I17" i="9"/>
  <c r="H17" i="9"/>
  <c r="N17" i="9" s="1"/>
  <c r="G17" i="9"/>
  <c r="D17" i="9"/>
  <c r="M16" i="9"/>
  <c r="I16" i="9"/>
  <c r="H16" i="9"/>
  <c r="N16" i="9" s="1"/>
  <c r="G16" i="9"/>
  <c r="D16" i="9"/>
  <c r="M15" i="9"/>
  <c r="I15" i="9"/>
  <c r="H15" i="9"/>
  <c r="N15" i="9" s="1"/>
  <c r="G15" i="9"/>
  <c r="D15" i="9"/>
  <c r="M14" i="9"/>
  <c r="I14" i="9"/>
  <c r="H14" i="9"/>
  <c r="N14" i="9" s="1"/>
  <c r="G14" i="9"/>
  <c r="D14" i="9"/>
  <c r="M13" i="9"/>
  <c r="I13" i="9"/>
  <c r="O13" i="9" s="1"/>
  <c r="H13" i="9"/>
  <c r="G13" i="9"/>
  <c r="D13" i="9"/>
  <c r="M12" i="9"/>
  <c r="I12" i="9"/>
  <c r="H12" i="9"/>
  <c r="N12" i="9" s="1"/>
  <c r="G12" i="9"/>
  <c r="D12" i="9"/>
  <c r="M11" i="9"/>
  <c r="I11" i="9"/>
  <c r="H11" i="9"/>
  <c r="N11" i="9" s="1"/>
  <c r="G11" i="9"/>
  <c r="D11" i="9"/>
  <c r="M10" i="9"/>
  <c r="I10" i="9"/>
  <c r="H10" i="9"/>
  <c r="N10" i="9" s="1"/>
  <c r="G10" i="9"/>
  <c r="D10" i="9"/>
  <c r="M9" i="9"/>
  <c r="I9" i="9"/>
  <c r="H9" i="9"/>
  <c r="N9" i="9" s="1"/>
  <c r="G9" i="9"/>
  <c r="D9" i="9"/>
  <c r="I8" i="9"/>
  <c r="H8" i="9"/>
  <c r="G8" i="9"/>
  <c r="D8" i="9"/>
  <c r="J14" i="9" l="1"/>
  <c r="J35" i="9"/>
  <c r="O10" i="9"/>
  <c r="P10" i="9" s="1"/>
  <c r="J10" i="9"/>
  <c r="O18" i="9"/>
  <c r="P18" i="9" s="1"/>
  <c r="J18" i="9"/>
  <c r="O22" i="9"/>
  <c r="P22" i="9" s="1"/>
  <c r="J22" i="9"/>
  <c r="O26" i="9"/>
  <c r="J26" i="9"/>
  <c r="O30" i="9"/>
  <c r="P30" i="9" s="1"/>
  <c r="J30" i="9"/>
  <c r="O35" i="9"/>
  <c r="P35" i="9" s="1"/>
  <c r="O11" i="9"/>
  <c r="J11" i="9"/>
  <c r="O15" i="9"/>
  <c r="P15" i="9" s="1"/>
  <c r="J15" i="9"/>
  <c r="O19" i="9"/>
  <c r="P19" i="9" s="1"/>
  <c r="J19" i="9"/>
  <c r="J23" i="9"/>
  <c r="J27" i="9"/>
  <c r="J31" i="9"/>
  <c r="O27" i="9"/>
  <c r="P27" i="9" s="1"/>
  <c r="O12" i="9"/>
  <c r="P12" i="9" s="1"/>
  <c r="J12" i="9"/>
  <c r="O16" i="9"/>
  <c r="P16" i="9" s="1"/>
  <c r="J16" i="9"/>
  <c r="O20" i="9"/>
  <c r="P20" i="9" s="1"/>
  <c r="J20" i="9"/>
  <c r="O24" i="9"/>
  <c r="J24" i="9"/>
  <c r="O28" i="9"/>
  <c r="P28" i="9" s="1"/>
  <c r="J28" i="9"/>
  <c r="O32" i="9"/>
  <c r="P32" i="9" s="1"/>
  <c r="J32" i="9"/>
  <c r="O8" i="9"/>
  <c r="J8" i="9"/>
  <c r="J9" i="9"/>
  <c r="J13" i="9"/>
  <c r="J17" i="9"/>
  <c r="J21" i="9"/>
  <c r="O25" i="9"/>
  <c r="P25" i="9" s="1"/>
  <c r="J25" i="9"/>
  <c r="O29" i="9"/>
  <c r="J29" i="9"/>
  <c r="J33" i="9"/>
  <c r="O31" i="9"/>
  <c r="P31" i="9" s="1"/>
  <c r="O23" i="9"/>
  <c r="O17" i="9"/>
  <c r="P17" i="9" s="1"/>
  <c r="O9" i="9"/>
  <c r="P9" i="9" s="1"/>
  <c r="H34" i="9"/>
  <c r="N29" i="9"/>
  <c r="N23" i="9"/>
  <c r="N13" i="9"/>
  <c r="P13" i="9" s="1"/>
  <c r="O14" i="9"/>
  <c r="P14" i="9" s="1"/>
  <c r="P26" i="9"/>
  <c r="P33" i="9"/>
  <c r="P11" i="9"/>
  <c r="P21" i="9"/>
  <c r="N8" i="9"/>
  <c r="D34" i="9"/>
  <c r="M34" i="9"/>
  <c r="C36" i="9"/>
  <c r="D36" i="9" s="1"/>
  <c r="G36" i="9"/>
  <c r="L36" i="9"/>
  <c r="M36" i="9" s="1"/>
  <c r="P24" i="9"/>
  <c r="I34" i="9"/>
  <c r="G34" i="9"/>
  <c r="D23" i="7"/>
  <c r="E17" i="7" s="1"/>
  <c r="B23" i="7"/>
  <c r="C21" i="7" s="1"/>
  <c r="F22" i="7"/>
  <c r="C22" i="7"/>
  <c r="F21" i="7"/>
  <c r="J21" i="7" s="1"/>
  <c r="E21" i="7"/>
  <c r="F20" i="7"/>
  <c r="J20" i="7" s="1"/>
  <c r="E20" i="7"/>
  <c r="C20" i="7"/>
  <c r="F19" i="7"/>
  <c r="C19" i="7"/>
  <c r="F18" i="7"/>
  <c r="J18" i="7" s="1"/>
  <c r="E18" i="7"/>
  <c r="F17" i="7"/>
  <c r="H17" i="7" s="1"/>
  <c r="C17" i="7"/>
  <c r="F16" i="7"/>
  <c r="J16" i="7" s="1"/>
  <c r="E16" i="7"/>
  <c r="C16" i="7"/>
  <c r="F15" i="7"/>
  <c r="C15" i="7"/>
  <c r="F14" i="7"/>
  <c r="J14" i="7" s="1"/>
  <c r="C14" i="7"/>
  <c r="F13" i="7"/>
  <c r="J13" i="7" s="1"/>
  <c r="E13" i="7"/>
  <c r="C13" i="7"/>
  <c r="F12" i="7"/>
  <c r="C12" i="7"/>
  <c r="F11" i="7"/>
  <c r="J11" i="7" s="1"/>
  <c r="E11" i="7"/>
  <c r="C11" i="7"/>
  <c r="F10" i="7"/>
  <c r="H10" i="7" s="1"/>
  <c r="C10" i="7"/>
  <c r="F9" i="7"/>
  <c r="J9" i="7" s="1"/>
  <c r="E9" i="7"/>
  <c r="C9" i="7"/>
  <c r="F8" i="7"/>
  <c r="C8" i="7"/>
  <c r="Q36" i="6"/>
  <c r="P36" i="6"/>
  <c r="N36" i="6"/>
  <c r="M36" i="6"/>
  <c r="I36" i="6"/>
  <c r="L36" i="6" s="1"/>
  <c r="H36" i="6"/>
  <c r="G36" i="6"/>
  <c r="F36" i="6"/>
  <c r="E36" i="6"/>
  <c r="C36" i="6"/>
  <c r="B36" i="6"/>
  <c r="S36" i="6" s="1"/>
  <c r="Q35" i="6"/>
  <c r="P35" i="6"/>
  <c r="N35" i="6"/>
  <c r="M35" i="6"/>
  <c r="I35" i="6"/>
  <c r="H35" i="6"/>
  <c r="F35" i="6"/>
  <c r="E35" i="6"/>
  <c r="C35" i="6"/>
  <c r="B35" i="6"/>
  <c r="Q34" i="6"/>
  <c r="P34" i="6"/>
  <c r="N34" i="6"/>
  <c r="M34" i="6"/>
  <c r="O34" i="6" s="1"/>
  <c r="I34" i="6"/>
  <c r="H34" i="6"/>
  <c r="F34" i="6"/>
  <c r="E34" i="6"/>
  <c r="C34" i="6"/>
  <c r="B34" i="6"/>
  <c r="Q33" i="6"/>
  <c r="P33" i="6"/>
  <c r="N33" i="6"/>
  <c r="M33" i="6"/>
  <c r="I33" i="6"/>
  <c r="L33" i="6" s="1"/>
  <c r="H33" i="6"/>
  <c r="F33" i="6"/>
  <c r="E33" i="6"/>
  <c r="C33" i="6"/>
  <c r="B33" i="6"/>
  <c r="Q32" i="6"/>
  <c r="P32" i="6"/>
  <c r="N32" i="6"/>
  <c r="M32" i="6"/>
  <c r="I32" i="6"/>
  <c r="H32" i="6"/>
  <c r="K32" i="6" s="1"/>
  <c r="F32" i="6"/>
  <c r="E32" i="6"/>
  <c r="C32" i="6"/>
  <c r="B32" i="6"/>
  <c r="Q31" i="6"/>
  <c r="T31" i="6" s="1"/>
  <c r="P31" i="6"/>
  <c r="N31" i="6"/>
  <c r="M31" i="6"/>
  <c r="I31" i="6"/>
  <c r="H31" i="6"/>
  <c r="F31" i="6"/>
  <c r="E31" i="6"/>
  <c r="C31" i="6"/>
  <c r="B31" i="6"/>
  <c r="Q30" i="6"/>
  <c r="P30" i="6"/>
  <c r="N30" i="6"/>
  <c r="M30" i="6"/>
  <c r="I30" i="6"/>
  <c r="H30" i="6"/>
  <c r="F30" i="6"/>
  <c r="E30" i="6"/>
  <c r="C30" i="6"/>
  <c r="B30" i="6"/>
  <c r="Q29" i="6"/>
  <c r="P29" i="6"/>
  <c r="N29" i="6"/>
  <c r="M29" i="6"/>
  <c r="I29" i="6"/>
  <c r="H29" i="6"/>
  <c r="F29" i="6"/>
  <c r="G29" i="6" s="1"/>
  <c r="E29" i="6"/>
  <c r="C29" i="6"/>
  <c r="B29" i="6"/>
  <c r="Q28" i="6"/>
  <c r="T28" i="6" s="1"/>
  <c r="P28" i="6"/>
  <c r="N28" i="6"/>
  <c r="M28" i="6"/>
  <c r="O28" i="6" s="1"/>
  <c r="I28" i="6"/>
  <c r="H28" i="6"/>
  <c r="F28" i="6"/>
  <c r="E28" i="6"/>
  <c r="C28" i="6"/>
  <c r="B28" i="6"/>
  <c r="Q27" i="6"/>
  <c r="T27" i="6" s="1"/>
  <c r="P27" i="6"/>
  <c r="N27" i="6"/>
  <c r="M27" i="6"/>
  <c r="I27" i="6"/>
  <c r="H27" i="6"/>
  <c r="K27" i="6" s="1"/>
  <c r="F27" i="6"/>
  <c r="E27" i="6"/>
  <c r="C27" i="6"/>
  <c r="B27" i="6"/>
  <c r="Q26" i="6"/>
  <c r="P26" i="6"/>
  <c r="S26" i="6" s="1"/>
  <c r="N26" i="6"/>
  <c r="M26" i="6"/>
  <c r="I26" i="6"/>
  <c r="H26" i="6"/>
  <c r="F26" i="6"/>
  <c r="E26" i="6"/>
  <c r="C26" i="6"/>
  <c r="B26" i="6"/>
  <c r="Q25" i="6"/>
  <c r="P25" i="6"/>
  <c r="N25" i="6"/>
  <c r="M25" i="6"/>
  <c r="I25" i="6"/>
  <c r="H25" i="6"/>
  <c r="F25" i="6"/>
  <c r="L25" i="6" s="1"/>
  <c r="E25" i="6"/>
  <c r="C25" i="6"/>
  <c r="D25" i="6" s="1"/>
  <c r="B25" i="6"/>
  <c r="Q24" i="6"/>
  <c r="P24" i="6"/>
  <c r="N24" i="6"/>
  <c r="O24" i="6" s="1"/>
  <c r="M24" i="6"/>
  <c r="I24" i="6"/>
  <c r="L24" i="6" s="1"/>
  <c r="H24" i="6"/>
  <c r="K24" i="6" s="1"/>
  <c r="F24" i="6"/>
  <c r="G24" i="6" s="1"/>
  <c r="E24" i="6"/>
  <c r="C24" i="6"/>
  <c r="D24" i="6" s="1"/>
  <c r="B24" i="6"/>
  <c r="Q23" i="6"/>
  <c r="P23" i="6"/>
  <c r="N23" i="6"/>
  <c r="M23" i="6"/>
  <c r="I23" i="6"/>
  <c r="H23" i="6"/>
  <c r="F23" i="6"/>
  <c r="E23" i="6"/>
  <c r="C23" i="6"/>
  <c r="B23" i="6"/>
  <c r="S22" i="6"/>
  <c r="Q22" i="6"/>
  <c r="P22" i="6"/>
  <c r="N22" i="6"/>
  <c r="M22" i="6"/>
  <c r="I22" i="6"/>
  <c r="H22" i="6"/>
  <c r="F22" i="6"/>
  <c r="E22" i="6"/>
  <c r="C22" i="6"/>
  <c r="D22" i="6" s="1"/>
  <c r="B22" i="6"/>
  <c r="Q21" i="6"/>
  <c r="P21" i="6"/>
  <c r="N21" i="6"/>
  <c r="M21" i="6"/>
  <c r="I21" i="6"/>
  <c r="H21" i="6"/>
  <c r="F21" i="6"/>
  <c r="E21" i="6"/>
  <c r="C21" i="6"/>
  <c r="D21" i="6" s="1"/>
  <c r="B21" i="6"/>
  <c r="Q20" i="6"/>
  <c r="P20" i="6"/>
  <c r="N20" i="6"/>
  <c r="M20" i="6"/>
  <c r="I20" i="6"/>
  <c r="H20" i="6"/>
  <c r="F20" i="6"/>
  <c r="G20" i="6" s="1"/>
  <c r="E20" i="6"/>
  <c r="C20" i="6"/>
  <c r="B20" i="6"/>
  <c r="T19" i="6"/>
  <c r="Q19" i="6"/>
  <c r="P19" i="6"/>
  <c r="N19" i="6"/>
  <c r="M19" i="6"/>
  <c r="I19" i="6"/>
  <c r="H19" i="6"/>
  <c r="F19" i="6"/>
  <c r="E19" i="6"/>
  <c r="C19" i="6"/>
  <c r="B19" i="6"/>
  <c r="D19" i="6" s="1"/>
  <c r="Q18" i="6"/>
  <c r="P18" i="6"/>
  <c r="S18" i="6" s="1"/>
  <c r="N18" i="6"/>
  <c r="O18" i="6" s="1"/>
  <c r="M18" i="6"/>
  <c r="I18" i="6"/>
  <c r="H18" i="6"/>
  <c r="F18" i="6"/>
  <c r="E18" i="6"/>
  <c r="C18" i="6"/>
  <c r="B18" i="6"/>
  <c r="T17" i="6"/>
  <c r="Q17" i="6"/>
  <c r="P17" i="6"/>
  <c r="N17" i="6"/>
  <c r="M17" i="6"/>
  <c r="I17" i="6"/>
  <c r="H17" i="6"/>
  <c r="F17" i="6"/>
  <c r="E17" i="6"/>
  <c r="C17" i="6"/>
  <c r="B17" i="6"/>
  <c r="D17" i="6" s="1"/>
  <c r="Q16" i="6"/>
  <c r="P16" i="6"/>
  <c r="N16" i="6"/>
  <c r="M16" i="6"/>
  <c r="I16" i="6"/>
  <c r="H16" i="6"/>
  <c r="F16" i="6"/>
  <c r="E16" i="6"/>
  <c r="C16" i="6"/>
  <c r="B16" i="6"/>
  <c r="Q15" i="6"/>
  <c r="T15" i="6" s="1"/>
  <c r="P15" i="6"/>
  <c r="N15" i="6"/>
  <c r="M15" i="6"/>
  <c r="I15" i="6"/>
  <c r="H15" i="6"/>
  <c r="K15" i="6" s="1"/>
  <c r="F15" i="6"/>
  <c r="E15" i="6"/>
  <c r="C15" i="6"/>
  <c r="B15" i="6"/>
  <c r="Q14" i="6"/>
  <c r="P14" i="6"/>
  <c r="N14" i="6"/>
  <c r="M14" i="6"/>
  <c r="I14" i="6"/>
  <c r="H14" i="6"/>
  <c r="F14" i="6"/>
  <c r="E14" i="6"/>
  <c r="C14" i="6"/>
  <c r="B14" i="6"/>
  <c r="Q13" i="6"/>
  <c r="P13" i="6"/>
  <c r="N13" i="6"/>
  <c r="M13" i="6"/>
  <c r="I13" i="6"/>
  <c r="H13" i="6"/>
  <c r="F13" i="6"/>
  <c r="E13" i="6"/>
  <c r="C13" i="6"/>
  <c r="D13" i="6" s="1"/>
  <c r="B13" i="6"/>
  <c r="Q12" i="6"/>
  <c r="P12" i="6"/>
  <c r="N12" i="6"/>
  <c r="M12" i="6"/>
  <c r="I12" i="6"/>
  <c r="H12" i="6"/>
  <c r="F12" i="6"/>
  <c r="E12" i="6"/>
  <c r="C12" i="6"/>
  <c r="B12" i="6"/>
  <c r="S12" i="6" s="1"/>
  <c r="Q11" i="6"/>
  <c r="T11" i="6" s="1"/>
  <c r="P11" i="6"/>
  <c r="N11" i="6"/>
  <c r="M11" i="6"/>
  <c r="I11" i="6"/>
  <c r="J11" i="6" s="1"/>
  <c r="H11" i="6"/>
  <c r="F11" i="6"/>
  <c r="G11" i="6" s="1"/>
  <c r="E11" i="6"/>
  <c r="C11" i="6"/>
  <c r="B11" i="6"/>
  <c r="Q10" i="6"/>
  <c r="P10" i="6"/>
  <c r="S10" i="6" s="1"/>
  <c r="N10" i="6"/>
  <c r="M10" i="6"/>
  <c r="I10" i="6"/>
  <c r="H10" i="6"/>
  <c r="F10" i="6"/>
  <c r="E10" i="6"/>
  <c r="C10" i="6"/>
  <c r="B10" i="6"/>
  <c r="O35" i="5"/>
  <c r="N35" i="5"/>
  <c r="M35" i="5"/>
  <c r="L35" i="5"/>
  <c r="K35" i="5"/>
  <c r="J35" i="5"/>
  <c r="F35" i="5"/>
  <c r="E35" i="5"/>
  <c r="C35" i="5"/>
  <c r="B35" i="5"/>
  <c r="O34" i="5"/>
  <c r="N34" i="5"/>
  <c r="M34" i="5"/>
  <c r="L34" i="5"/>
  <c r="K34" i="5"/>
  <c r="J34" i="5"/>
  <c r="F34" i="5"/>
  <c r="E34" i="5"/>
  <c r="C34" i="5"/>
  <c r="B34" i="5"/>
  <c r="O33" i="5"/>
  <c r="N33" i="5"/>
  <c r="M33" i="5"/>
  <c r="L33" i="5"/>
  <c r="K33" i="5"/>
  <c r="J33" i="5"/>
  <c r="F33" i="5"/>
  <c r="E33" i="5"/>
  <c r="C33" i="5"/>
  <c r="B33" i="5"/>
  <c r="O32" i="5"/>
  <c r="N32" i="5"/>
  <c r="M32" i="5"/>
  <c r="L32" i="5"/>
  <c r="K32" i="5"/>
  <c r="J32" i="5"/>
  <c r="F32" i="5"/>
  <c r="G32" i="5" s="1"/>
  <c r="E32" i="5"/>
  <c r="C32" i="5"/>
  <c r="B32" i="5"/>
  <c r="H32" i="5" s="1"/>
  <c r="O31" i="5"/>
  <c r="N31" i="5"/>
  <c r="M31" i="5"/>
  <c r="L31" i="5"/>
  <c r="K31" i="5"/>
  <c r="J31" i="5"/>
  <c r="F31" i="5"/>
  <c r="E31" i="5"/>
  <c r="C31" i="5"/>
  <c r="I31" i="5" s="1"/>
  <c r="B31" i="5"/>
  <c r="O30" i="5"/>
  <c r="N30" i="5"/>
  <c r="M30" i="5"/>
  <c r="L30" i="5"/>
  <c r="K30" i="5"/>
  <c r="J30" i="5"/>
  <c r="F30" i="5"/>
  <c r="G30" i="5" s="1"/>
  <c r="E30" i="5"/>
  <c r="C30" i="5"/>
  <c r="I30" i="5" s="1"/>
  <c r="B30" i="5"/>
  <c r="H30" i="5" s="1"/>
  <c r="O29" i="5"/>
  <c r="N29" i="5"/>
  <c r="M29" i="5"/>
  <c r="L29" i="5"/>
  <c r="K29" i="5"/>
  <c r="J29" i="5"/>
  <c r="F29" i="5"/>
  <c r="E29" i="5"/>
  <c r="C29" i="5"/>
  <c r="B29" i="5"/>
  <c r="O28" i="5"/>
  <c r="N28" i="5"/>
  <c r="M28" i="5"/>
  <c r="L28" i="5"/>
  <c r="K28" i="5"/>
  <c r="J28" i="5"/>
  <c r="F28" i="5"/>
  <c r="G28" i="5" s="1"/>
  <c r="E28" i="5"/>
  <c r="C28" i="5"/>
  <c r="B28" i="5"/>
  <c r="H28" i="5" s="1"/>
  <c r="O27" i="5"/>
  <c r="N27" i="5"/>
  <c r="M27" i="5"/>
  <c r="L27" i="5"/>
  <c r="K27" i="5"/>
  <c r="J27" i="5"/>
  <c r="F27" i="5"/>
  <c r="E27" i="5"/>
  <c r="C27" i="5"/>
  <c r="B27" i="5"/>
  <c r="O26" i="5"/>
  <c r="N26" i="5"/>
  <c r="M26" i="5"/>
  <c r="L26" i="5"/>
  <c r="K26" i="5"/>
  <c r="J26" i="5"/>
  <c r="F26" i="5"/>
  <c r="G26" i="5" s="1"/>
  <c r="E26" i="5"/>
  <c r="C26" i="5"/>
  <c r="B26" i="5"/>
  <c r="H26" i="5" s="1"/>
  <c r="O25" i="5"/>
  <c r="N25" i="5"/>
  <c r="M25" i="5"/>
  <c r="L25" i="5"/>
  <c r="K25" i="5"/>
  <c r="J25" i="5"/>
  <c r="F25" i="5"/>
  <c r="E25" i="5"/>
  <c r="C25" i="5"/>
  <c r="B25" i="5"/>
  <c r="O24" i="5"/>
  <c r="N24" i="5"/>
  <c r="M24" i="5"/>
  <c r="L24" i="5"/>
  <c r="K24" i="5"/>
  <c r="J24" i="5"/>
  <c r="F24" i="5"/>
  <c r="E24" i="5"/>
  <c r="C24" i="5"/>
  <c r="I24" i="5" s="1"/>
  <c r="B24" i="5"/>
  <c r="H24" i="5" s="1"/>
  <c r="O23" i="5"/>
  <c r="N23" i="5"/>
  <c r="M23" i="5"/>
  <c r="L23" i="5"/>
  <c r="K23" i="5"/>
  <c r="J23" i="5"/>
  <c r="F23" i="5"/>
  <c r="E23" i="5"/>
  <c r="C23" i="5"/>
  <c r="B23" i="5"/>
  <c r="O22" i="5"/>
  <c r="N22" i="5"/>
  <c r="M22" i="5"/>
  <c r="L22" i="5"/>
  <c r="K22" i="5"/>
  <c r="J22" i="5"/>
  <c r="F22" i="5"/>
  <c r="E22" i="5"/>
  <c r="G22" i="5" s="1"/>
  <c r="C22" i="5"/>
  <c r="B22" i="5"/>
  <c r="O21" i="5"/>
  <c r="N21" i="5"/>
  <c r="M21" i="5"/>
  <c r="L21" i="5"/>
  <c r="K21" i="5"/>
  <c r="J21" i="5"/>
  <c r="F21" i="5"/>
  <c r="E21" i="5"/>
  <c r="C21" i="5"/>
  <c r="B21" i="5"/>
  <c r="O20" i="5"/>
  <c r="N20" i="5"/>
  <c r="M20" i="5"/>
  <c r="L20" i="5"/>
  <c r="K20" i="5"/>
  <c r="J20" i="5"/>
  <c r="F20" i="5"/>
  <c r="E20" i="5"/>
  <c r="C20" i="5"/>
  <c r="B20" i="5"/>
  <c r="O19" i="5"/>
  <c r="N19" i="5"/>
  <c r="M19" i="5"/>
  <c r="L19" i="5"/>
  <c r="K19" i="5"/>
  <c r="J19" i="5"/>
  <c r="F19" i="5"/>
  <c r="E19" i="5"/>
  <c r="C19" i="5"/>
  <c r="B19" i="5"/>
  <c r="O18" i="5"/>
  <c r="N18" i="5"/>
  <c r="M18" i="5"/>
  <c r="L18" i="5"/>
  <c r="K18" i="5"/>
  <c r="J18" i="5"/>
  <c r="F18" i="5"/>
  <c r="E18" i="5"/>
  <c r="C18" i="5"/>
  <c r="B18" i="5"/>
  <c r="O17" i="5"/>
  <c r="N17" i="5"/>
  <c r="M17" i="5"/>
  <c r="L17" i="5"/>
  <c r="K17" i="5"/>
  <c r="J17" i="5"/>
  <c r="F17" i="5"/>
  <c r="E17" i="5"/>
  <c r="C17" i="5"/>
  <c r="B17" i="5"/>
  <c r="O16" i="5"/>
  <c r="N16" i="5"/>
  <c r="M16" i="5"/>
  <c r="L16" i="5"/>
  <c r="K16" i="5"/>
  <c r="J16" i="5"/>
  <c r="F16" i="5"/>
  <c r="E16" i="5"/>
  <c r="C16" i="5"/>
  <c r="I16" i="5" s="1"/>
  <c r="B16" i="5"/>
  <c r="O15" i="5"/>
  <c r="N15" i="5"/>
  <c r="M15" i="5"/>
  <c r="L15" i="5"/>
  <c r="K15" i="5"/>
  <c r="J15" i="5"/>
  <c r="F15" i="5"/>
  <c r="E15" i="5"/>
  <c r="C15" i="5"/>
  <c r="I15" i="5" s="1"/>
  <c r="B15" i="5"/>
  <c r="H15" i="5" s="1"/>
  <c r="O14" i="5"/>
  <c r="N14" i="5"/>
  <c r="M14" i="5"/>
  <c r="L14" i="5"/>
  <c r="K14" i="5"/>
  <c r="J14" i="5"/>
  <c r="F14" i="5"/>
  <c r="G14" i="5" s="1"/>
  <c r="E14" i="5"/>
  <c r="C14" i="5"/>
  <c r="B14" i="5"/>
  <c r="O13" i="5"/>
  <c r="N13" i="5"/>
  <c r="M13" i="5"/>
  <c r="L13" i="5"/>
  <c r="K13" i="5"/>
  <c r="J13" i="5"/>
  <c r="F13" i="5"/>
  <c r="G13" i="5" s="1"/>
  <c r="E13" i="5"/>
  <c r="C13" i="5"/>
  <c r="B13" i="5"/>
  <c r="H13" i="5" s="1"/>
  <c r="O12" i="5"/>
  <c r="N12" i="5"/>
  <c r="M12" i="5"/>
  <c r="L12" i="5"/>
  <c r="K12" i="5"/>
  <c r="J12" i="5"/>
  <c r="G12" i="5"/>
  <c r="F12" i="5"/>
  <c r="E12" i="5"/>
  <c r="C12" i="5"/>
  <c r="B12" i="5"/>
  <c r="H12" i="5" s="1"/>
  <c r="O11" i="5"/>
  <c r="N11" i="5"/>
  <c r="M11" i="5"/>
  <c r="L11" i="5"/>
  <c r="K11" i="5"/>
  <c r="J11" i="5"/>
  <c r="F11" i="5"/>
  <c r="E11" i="5"/>
  <c r="C11" i="5"/>
  <c r="B11" i="5"/>
  <c r="O10" i="5"/>
  <c r="N10" i="5"/>
  <c r="M10" i="5"/>
  <c r="L10" i="5"/>
  <c r="K10" i="5"/>
  <c r="J10" i="5"/>
  <c r="F10" i="5"/>
  <c r="E10" i="5"/>
  <c r="C10" i="5"/>
  <c r="B10" i="5"/>
  <c r="O9" i="5"/>
  <c r="N9" i="5"/>
  <c r="M9" i="5"/>
  <c r="L9" i="5"/>
  <c r="K9" i="5"/>
  <c r="J9" i="5"/>
  <c r="F9" i="5"/>
  <c r="E9" i="5"/>
  <c r="C9" i="5"/>
  <c r="B9" i="5"/>
  <c r="AF148" i="2"/>
  <c r="AA148" i="2"/>
  <c r="AG148" i="2" s="1"/>
  <c r="Z148" i="2"/>
  <c r="Y148" i="2"/>
  <c r="U148" i="2"/>
  <c r="T148" i="2"/>
  <c r="S148" i="2"/>
  <c r="AE148" i="2" s="1"/>
  <c r="L148" i="2"/>
  <c r="X148" i="2" s="1"/>
  <c r="K148" i="2"/>
  <c r="E148" i="2"/>
  <c r="R148" i="2" s="1"/>
  <c r="D148" i="2"/>
  <c r="Q148" i="2" s="1"/>
  <c r="AG147" i="2"/>
  <c r="AF147" i="2"/>
  <c r="AA147" i="2"/>
  <c r="Z147" i="2"/>
  <c r="Y147" i="2"/>
  <c r="X147" i="2"/>
  <c r="W147" i="2"/>
  <c r="AC147" i="2" s="1"/>
  <c r="U147" i="2"/>
  <c r="T147" i="2"/>
  <c r="S147" i="2"/>
  <c r="AE147" i="2" s="1"/>
  <c r="Q147" i="2"/>
  <c r="L147" i="2"/>
  <c r="K147" i="2"/>
  <c r="I147" i="2"/>
  <c r="V147" i="2" s="1"/>
  <c r="E147" i="2"/>
  <c r="R147" i="2" s="1"/>
  <c r="D147" i="2"/>
  <c r="AA146" i="2"/>
  <c r="Z146" i="2"/>
  <c r="Y146" i="2"/>
  <c r="AE146" i="2" s="1"/>
  <c r="X146" i="2"/>
  <c r="W146" i="2"/>
  <c r="U146" i="2"/>
  <c r="AG146" i="2" s="1"/>
  <c r="T146" i="2"/>
  <c r="AF146" i="2" s="1"/>
  <c r="S146" i="2"/>
  <c r="Q146" i="2"/>
  <c r="AC146" i="2" s="1"/>
  <c r="L146" i="2"/>
  <c r="I146" i="2"/>
  <c r="V146" i="2" s="1"/>
  <c r="E146" i="2"/>
  <c r="R146" i="2" s="1"/>
  <c r="B146" i="2"/>
  <c r="P146" i="2" s="1"/>
  <c r="AE145" i="2"/>
  <c r="AA145" i="2"/>
  <c r="Z145" i="2"/>
  <c r="Y145" i="2"/>
  <c r="W145" i="2"/>
  <c r="U145" i="2"/>
  <c r="AG145" i="2" s="1"/>
  <c r="T145" i="2"/>
  <c r="AF145" i="2" s="1"/>
  <c r="S145" i="2"/>
  <c r="P145" i="2"/>
  <c r="AB145" i="2" s="1"/>
  <c r="L145" i="2"/>
  <c r="X145" i="2" s="1"/>
  <c r="AD145" i="2" s="1"/>
  <c r="AI145" i="2" s="1"/>
  <c r="K145" i="2"/>
  <c r="I145" i="2"/>
  <c r="V145" i="2" s="1"/>
  <c r="E145" i="2"/>
  <c r="R145" i="2" s="1"/>
  <c r="D145" i="2"/>
  <c r="B145" i="2" s="1"/>
  <c r="Z144" i="2"/>
  <c r="Y144" i="2"/>
  <c r="U144" i="2"/>
  <c r="O144" i="2"/>
  <c r="AA144" i="2" s="1"/>
  <c r="AG144" i="2" s="1"/>
  <c r="N144" i="2"/>
  <c r="N143" i="2" s="1"/>
  <c r="Z143" i="2" s="1"/>
  <c r="M144" i="2"/>
  <c r="L144" i="2"/>
  <c r="X144" i="2" s="1"/>
  <c r="K144" i="2"/>
  <c r="W144" i="2" s="1"/>
  <c r="I144" i="2"/>
  <c r="V144" i="2" s="1"/>
  <c r="H144" i="2"/>
  <c r="G144" i="2"/>
  <c r="F144" i="2"/>
  <c r="S144" i="2" s="1"/>
  <c r="AG143" i="2"/>
  <c r="AA143" i="2"/>
  <c r="U143" i="2"/>
  <c r="S143" i="2"/>
  <c r="O143" i="2"/>
  <c r="M143" i="2"/>
  <c r="H143" i="2"/>
  <c r="G143" i="2"/>
  <c r="T143" i="2" s="1"/>
  <c r="AF143" i="2" s="1"/>
  <c r="F143" i="2"/>
  <c r="AE142" i="2"/>
  <c r="AA142" i="2"/>
  <c r="AG142" i="2" s="1"/>
  <c r="Y142" i="2"/>
  <c r="W142" i="2"/>
  <c r="U142" i="2"/>
  <c r="S142" i="2"/>
  <c r="Q142" i="2"/>
  <c r="N142" i="2"/>
  <c r="Z142" i="2" s="1"/>
  <c r="G142" i="2"/>
  <c r="T142" i="2" s="1"/>
  <c r="E142" i="2"/>
  <c r="B142" i="2" s="1"/>
  <c r="P142" i="2" s="1"/>
  <c r="Y141" i="2"/>
  <c r="AE141" i="2" s="1"/>
  <c r="U141" i="2"/>
  <c r="T141" i="2"/>
  <c r="S141" i="2"/>
  <c r="O141" i="2"/>
  <c r="AA141" i="2" s="1"/>
  <c r="AG141" i="2" s="1"/>
  <c r="N141" i="2"/>
  <c r="Z141" i="2" s="1"/>
  <c r="AF141" i="2" s="1"/>
  <c r="M141" i="2"/>
  <c r="L141" i="2"/>
  <c r="X141" i="2" s="1"/>
  <c r="H141" i="2"/>
  <c r="G141" i="2"/>
  <c r="F141" i="2"/>
  <c r="E141" i="2" s="1"/>
  <c r="AF140" i="2"/>
  <c r="AA140" i="2"/>
  <c r="AG140" i="2" s="1"/>
  <c r="Z140" i="2"/>
  <c r="Y140" i="2"/>
  <c r="W140" i="2"/>
  <c r="AC140" i="2" s="1"/>
  <c r="U140" i="2"/>
  <c r="T140" i="2"/>
  <c r="S140" i="2"/>
  <c r="AE140" i="2" s="1"/>
  <c r="R140" i="2"/>
  <c r="Q140" i="2"/>
  <c r="L140" i="2"/>
  <c r="X140" i="2" s="1"/>
  <c r="AD140" i="2" s="1"/>
  <c r="K140" i="2"/>
  <c r="E140" i="2"/>
  <c r="B140" i="2" s="1"/>
  <c r="P140" i="2" s="1"/>
  <c r="AE139" i="2"/>
  <c r="AA139" i="2"/>
  <c r="AG139" i="2" s="1"/>
  <c r="Z139" i="2"/>
  <c r="AF139" i="2" s="1"/>
  <c r="Y139" i="2"/>
  <c r="W139" i="2"/>
  <c r="AC139" i="2" s="1"/>
  <c r="U139" i="2"/>
  <c r="T139" i="2"/>
  <c r="S139" i="2"/>
  <c r="R139" i="2"/>
  <c r="Q139" i="2"/>
  <c r="L139" i="2"/>
  <c r="X139" i="2" s="1"/>
  <c r="E139" i="2"/>
  <c r="B139" i="2" s="1"/>
  <c r="P139" i="2" s="1"/>
  <c r="AG138" i="2"/>
  <c r="AC138" i="2"/>
  <c r="AA138" i="2"/>
  <c r="Z138" i="2"/>
  <c r="Y138" i="2"/>
  <c r="AE138" i="2" s="1"/>
  <c r="W138" i="2"/>
  <c r="U138" i="2"/>
  <c r="T138" i="2"/>
  <c r="AF138" i="2" s="1"/>
  <c r="S138" i="2"/>
  <c r="Q138" i="2"/>
  <c r="L138" i="2"/>
  <c r="K138" i="2"/>
  <c r="E138" i="2"/>
  <c r="R138" i="2" s="1"/>
  <c r="B138" i="2"/>
  <c r="P138" i="2" s="1"/>
  <c r="J128" i="2"/>
  <c r="C128" i="2"/>
  <c r="AA127" i="2"/>
  <c r="Z127" i="2"/>
  <c r="Y127" i="2"/>
  <c r="X127" i="2"/>
  <c r="W127" i="2"/>
  <c r="V127" i="2"/>
  <c r="U127" i="2"/>
  <c r="T127" i="2"/>
  <c r="S127" i="2"/>
  <c r="Q127" i="2"/>
  <c r="P127" i="2"/>
  <c r="L127" i="2"/>
  <c r="E127" i="2"/>
  <c r="R127" i="2" s="1"/>
  <c r="AA126" i="2"/>
  <c r="Z126" i="2"/>
  <c r="Y126" i="2"/>
  <c r="X126" i="2"/>
  <c r="W126" i="2"/>
  <c r="V126" i="2"/>
  <c r="U126" i="2"/>
  <c r="T126" i="2"/>
  <c r="S126" i="2"/>
  <c r="Q126" i="2"/>
  <c r="P126" i="2"/>
  <c r="L126" i="2"/>
  <c r="E126" i="2"/>
  <c r="R126" i="2" s="1"/>
  <c r="AA125" i="2"/>
  <c r="AG125" i="2" s="1"/>
  <c r="Z125" i="2"/>
  <c r="Y125" i="2"/>
  <c r="X125" i="2"/>
  <c r="W125" i="2"/>
  <c r="V125" i="2"/>
  <c r="AB125" i="2" s="1"/>
  <c r="U125" i="2"/>
  <c r="T125" i="2"/>
  <c r="S125" i="2"/>
  <c r="Q125" i="2"/>
  <c r="AC125" i="2" s="1"/>
  <c r="P125" i="2"/>
  <c r="L125" i="2"/>
  <c r="E125" i="2"/>
  <c r="R125" i="2" s="1"/>
  <c r="AD125" i="2" s="1"/>
  <c r="AA124" i="2"/>
  <c r="Z124" i="2"/>
  <c r="Y124" i="2"/>
  <c r="W124" i="2"/>
  <c r="V124" i="2"/>
  <c r="U124" i="2"/>
  <c r="T124" i="2"/>
  <c r="S124" i="2"/>
  <c r="Q124" i="2"/>
  <c r="P124" i="2"/>
  <c r="L124" i="2"/>
  <c r="X124" i="2" s="1"/>
  <c r="E124" i="2"/>
  <c r="R124" i="2" s="1"/>
  <c r="AA123" i="2"/>
  <c r="Z123" i="2"/>
  <c r="Y123" i="2"/>
  <c r="AE123" i="2" s="1"/>
  <c r="X123" i="2"/>
  <c r="W123" i="2"/>
  <c r="V123" i="2"/>
  <c r="AB123" i="2" s="1"/>
  <c r="U123" i="2"/>
  <c r="T123" i="2"/>
  <c r="S123" i="2"/>
  <c r="Q123" i="2"/>
  <c r="AC123" i="2" s="1"/>
  <c r="P123" i="2"/>
  <c r="L123" i="2"/>
  <c r="E123" i="2"/>
  <c r="R123" i="2" s="1"/>
  <c r="AD123" i="2" s="1"/>
  <c r="AA122" i="2"/>
  <c r="Z122" i="2"/>
  <c r="Y122" i="2"/>
  <c r="X122" i="2"/>
  <c r="W122" i="2"/>
  <c r="V122" i="2"/>
  <c r="U122" i="2"/>
  <c r="T122" i="2"/>
  <c r="S122" i="2"/>
  <c r="Q122" i="2"/>
  <c r="P122" i="2"/>
  <c r="L122" i="2"/>
  <c r="E122" i="2"/>
  <c r="R122" i="2" s="1"/>
  <c r="AA121" i="2"/>
  <c r="Z121" i="2"/>
  <c r="Y121" i="2"/>
  <c r="X121" i="2"/>
  <c r="W121" i="2"/>
  <c r="V121" i="2"/>
  <c r="U121" i="2"/>
  <c r="T121" i="2"/>
  <c r="S121" i="2"/>
  <c r="Q121" i="2"/>
  <c r="P121" i="2"/>
  <c r="L121" i="2"/>
  <c r="E121" i="2"/>
  <c r="R121" i="2" s="1"/>
  <c r="AA120" i="2"/>
  <c r="Z120" i="2"/>
  <c r="Y120" i="2"/>
  <c r="X120" i="2"/>
  <c r="W120" i="2"/>
  <c r="V120" i="2"/>
  <c r="U120" i="2"/>
  <c r="T120" i="2"/>
  <c r="S120" i="2"/>
  <c r="Q120" i="2"/>
  <c r="P120" i="2"/>
  <c r="L120" i="2"/>
  <c r="E120" i="2"/>
  <c r="R120" i="2" s="1"/>
  <c r="AA113" i="2"/>
  <c r="Z113" i="2"/>
  <c r="Y113" i="2"/>
  <c r="X113" i="2"/>
  <c r="W113" i="2"/>
  <c r="V113" i="2"/>
  <c r="U113" i="2"/>
  <c r="T113" i="2"/>
  <c r="S113" i="2"/>
  <c r="Q113" i="2"/>
  <c r="P113" i="2"/>
  <c r="L113" i="2"/>
  <c r="E113" i="2"/>
  <c r="R113" i="2" s="1"/>
  <c r="F112" i="2"/>
  <c r="O111" i="2"/>
  <c r="N111" i="2"/>
  <c r="M111" i="2"/>
  <c r="K111" i="2"/>
  <c r="J111" i="2"/>
  <c r="I111" i="2"/>
  <c r="H111" i="2"/>
  <c r="G111" i="2"/>
  <c r="F111" i="2"/>
  <c r="D111" i="2"/>
  <c r="C111" i="2"/>
  <c r="B111" i="2"/>
  <c r="AF110" i="2"/>
  <c r="AA110" i="2"/>
  <c r="Z110" i="2"/>
  <c r="Y110" i="2"/>
  <c r="W110" i="2"/>
  <c r="AC110" i="2" s="1"/>
  <c r="V110" i="2"/>
  <c r="AB110" i="2" s="1"/>
  <c r="U110" i="2"/>
  <c r="T110" i="2"/>
  <c r="S110" i="2"/>
  <c r="Q110" i="2"/>
  <c r="P110" i="2"/>
  <c r="L110" i="2"/>
  <c r="X110" i="2" s="1"/>
  <c r="E110" i="2"/>
  <c r="R110" i="2" s="1"/>
  <c r="W109" i="2"/>
  <c r="P109" i="2"/>
  <c r="K109" i="2"/>
  <c r="H109" i="2"/>
  <c r="U109" i="2" s="1"/>
  <c r="G109" i="2"/>
  <c r="T109" i="2" s="1"/>
  <c r="C109" i="2"/>
  <c r="AA108" i="2"/>
  <c r="AG108" i="2" s="1"/>
  <c r="W108" i="2"/>
  <c r="U108" i="2"/>
  <c r="S108" i="2"/>
  <c r="P108" i="2"/>
  <c r="O108" i="2"/>
  <c r="O109" i="2" s="1"/>
  <c r="AA109" i="2" s="1"/>
  <c r="N108" i="2"/>
  <c r="N109" i="2" s="1"/>
  <c r="Z109" i="2" s="1"/>
  <c r="M108" i="2"/>
  <c r="Y108" i="2" s="1"/>
  <c r="K108" i="2"/>
  <c r="J108" i="2"/>
  <c r="J109" i="2" s="1"/>
  <c r="I108" i="2"/>
  <c r="H108" i="2"/>
  <c r="G108" i="2"/>
  <c r="T108" i="2" s="1"/>
  <c r="F108" i="2"/>
  <c r="F109" i="2" s="1"/>
  <c r="S109" i="2" s="1"/>
  <c r="D108" i="2"/>
  <c r="D109" i="2" s="1"/>
  <c r="Q109" i="2" s="1"/>
  <c r="C108" i="2"/>
  <c r="B108" i="2"/>
  <c r="B109" i="2" s="1"/>
  <c r="AA107" i="2"/>
  <c r="Z107" i="2"/>
  <c r="AF107" i="2" s="1"/>
  <c r="Y107" i="2"/>
  <c r="W107" i="2"/>
  <c r="AC107" i="2" s="1"/>
  <c r="V107" i="2"/>
  <c r="U107" i="2"/>
  <c r="AG107" i="2" s="1"/>
  <c r="T107" i="2"/>
  <c r="S107" i="2"/>
  <c r="Q107" i="2"/>
  <c r="P107" i="2"/>
  <c r="AA106" i="2"/>
  <c r="Z106" i="2"/>
  <c r="AF106" i="2" s="1"/>
  <c r="Y106" i="2"/>
  <c r="W106" i="2"/>
  <c r="V106" i="2"/>
  <c r="U106" i="2"/>
  <c r="T106" i="2"/>
  <c r="S106" i="2"/>
  <c r="Q106" i="2"/>
  <c r="P106" i="2"/>
  <c r="AF105" i="2"/>
  <c r="AA105" i="2"/>
  <c r="Z105" i="2"/>
  <c r="Y105" i="2"/>
  <c r="W105" i="2"/>
  <c r="AC105" i="2" s="1"/>
  <c r="V105" i="2"/>
  <c r="U105" i="2"/>
  <c r="T105" i="2"/>
  <c r="S105" i="2"/>
  <c r="Q105" i="2"/>
  <c r="P105" i="2"/>
  <c r="AG104" i="2"/>
  <c r="AC104" i="2"/>
  <c r="AA104" i="2"/>
  <c r="Z104" i="2"/>
  <c r="Y104" i="2"/>
  <c r="W104" i="2"/>
  <c r="V104" i="2"/>
  <c r="AB104" i="2" s="1"/>
  <c r="U104" i="2"/>
  <c r="T104" i="2"/>
  <c r="S104" i="2"/>
  <c r="Q104" i="2"/>
  <c r="P104" i="2"/>
  <c r="AG103" i="2"/>
  <c r="AC103" i="2"/>
  <c r="AB103" i="2"/>
  <c r="AA103" i="2"/>
  <c r="Z103" i="2"/>
  <c r="Y103" i="2"/>
  <c r="AE103" i="2" s="1"/>
  <c r="W103" i="2"/>
  <c r="V103" i="2"/>
  <c r="U103" i="2"/>
  <c r="T103" i="2"/>
  <c r="AF103" i="2" s="1"/>
  <c r="S103" i="2"/>
  <c r="Q103" i="2"/>
  <c r="P103" i="2"/>
  <c r="L103" i="2"/>
  <c r="X103" i="2" s="1"/>
  <c r="AD103" i="2" s="1"/>
  <c r="E103" i="2"/>
  <c r="R103" i="2" s="1"/>
  <c r="AE102" i="2"/>
  <c r="AA102" i="2"/>
  <c r="AG102" i="2" s="1"/>
  <c r="Z102" i="2"/>
  <c r="Y102" i="2"/>
  <c r="W102" i="2"/>
  <c r="AC102" i="2" s="1"/>
  <c r="V102" i="2"/>
  <c r="AB102" i="2" s="1"/>
  <c r="U102" i="2"/>
  <c r="T102" i="2"/>
  <c r="S102" i="2"/>
  <c r="Q102" i="2"/>
  <c r="P102" i="2"/>
  <c r="L102" i="2"/>
  <c r="X102" i="2" s="1"/>
  <c r="AD102" i="2" s="1"/>
  <c r="E102" i="2"/>
  <c r="R102" i="2" s="1"/>
  <c r="AF101" i="2"/>
  <c r="AA101" i="2"/>
  <c r="AG101" i="2" s="1"/>
  <c r="Z101" i="2"/>
  <c r="W101" i="2"/>
  <c r="AC101" i="2" s="1"/>
  <c r="U101" i="2"/>
  <c r="T101" i="2"/>
  <c r="Q101" i="2"/>
  <c r="L101" i="2"/>
  <c r="L100" i="2" s="1"/>
  <c r="X100" i="2" s="1"/>
  <c r="E101" i="2"/>
  <c r="AA100" i="2"/>
  <c r="AG100" i="2" s="1"/>
  <c r="Z100" i="2"/>
  <c r="AF100" i="2" s="1"/>
  <c r="Y100" i="2"/>
  <c r="AE100" i="2" s="1"/>
  <c r="W100" i="2"/>
  <c r="AC100" i="2" s="1"/>
  <c r="V100" i="2"/>
  <c r="AB100" i="2" s="1"/>
  <c r="U100" i="2"/>
  <c r="T100" i="2"/>
  <c r="S100" i="2"/>
  <c r="Q100" i="2"/>
  <c r="P100" i="2"/>
  <c r="E100" i="2"/>
  <c r="R100" i="2" s="1"/>
  <c r="AA99" i="2"/>
  <c r="AG99" i="2" s="1"/>
  <c r="Z99" i="2"/>
  <c r="AF99" i="2" s="1"/>
  <c r="W99" i="2"/>
  <c r="V99" i="2"/>
  <c r="AB99" i="2" s="1"/>
  <c r="U99" i="2"/>
  <c r="T99" i="2"/>
  <c r="Q99" i="2"/>
  <c r="P99" i="2"/>
  <c r="L99" i="2"/>
  <c r="E99" i="2"/>
  <c r="AG98" i="2"/>
  <c r="AE98" i="2"/>
  <c r="AB98" i="2"/>
  <c r="AA98" i="2"/>
  <c r="Z98" i="2"/>
  <c r="Y98" i="2"/>
  <c r="W98" i="2"/>
  <c r="V98" i="2"/>
  <c r="U98" i="2"/>
  <c r="T98" i="2"/>
  <c r="AF98" i="2" s="1"/>
  <c r="S98" i="2"/>
  <c r="Q98" i="2"/>
  <c r="AC98" i="2" s="1"/>
  <c r="P98" i="2"/>
  <c r="L98" i="2"/>
  <c r="X98" i="2" s="1"/>
  <c r="AD98" i="2" s="1"/>
  <c r="E98" i="2"/>
  <c r="R98" i="2" s="1"/>
  <c r="Z97" i="2"/>
  <c r="W97" i="2"/>
  <c r="V97" i="2"/>
  <c r="AB97" i="2" s="1"/>
  <c r="T97" i="2"/>
  <c r="Q97" i="2"/>
  <c r="AC97" i="2" s="1"/>
  <c r="P97" i="2"/>
  <c r="L97" i="2"/>
  <c r="L96" i="2" s="1"/>
  <c r="X96" i="2" s="1"/>
  <c r="AD96" i="2" s="1"/>
  <c r="E97" i="2"/>
  <c r="AF96" i="2"/>
  <c r="AA96" i="2"/>
  <c r="Z96" i="2"/>
  <c r="Y96" i="2"/>
  <c r="AE96" i="2" s="1"/>
  <c r="W96" i="2"/>
  <c r="V96" i="2"/>
  <c r="U96" i="2"/>
  <c r="T96" i="2"/>
  <c r="S96" i="2"/>
  <c r="Q96" i="2"/>
  <c r="AC96" i="2" s="1"/>
  <c r="P96" i="2"/>
  <c r="AB96" i="2" s="1"/>
  <c r="E96" i="2"/>
  <c r="R96" i="2" s="1"/>
  <c r="AA95" i="2"/>
  <c r="Z95" i="2"/>
  <c r="Y95" i="2"/>
  <c r="X95" i="2"/>
  <c r="W95" i="2"/>
  <c r="V95" i="2"/>
  <c r="AB95" i="2" s="1"/>
  <c r="U95" i="2"/>
  <c r="T95" i="2"/>
  <c r="S95" i="2"/>
  <c r="Q95" i="2"/>
  <c r="AC95" i="2" s="1"/>
  <c r="P95" i="2"/>
  <c r="L95" i="2"/>
  <c r="E95" i="2"/>
  <c r="R95" i="2" s="1"/>
  <c r="AA94" i="2"/>
  <c r="Z94" i="2"/>
  <c r="Y94" i="2"/>
  <c r="X94" i="2"/>
  <c r="W94" i="2"/>
  <c r="V94" i="2"/>
  <c r="AB94" i="2" s="1"/>
  <c r="U94" i="2"/>
  <c r="T94" i="2"/>
  <c r="S94" i="2"/>
  <c r="Q94" i="2"/>
  <c r="AC94" i="2" s="1"/>
  <c r="P94" i="2"/>
  <c r="L94" i="2"/>
  <c r="E94" i="2"/>
  <c r="R94" i="2" s="1"/>
  <c r="AA93" i="2"/>
  <c r="Z93" i="2"/>
  <c r="Y93" i="2"/>
  <c r="W93" i="2"/>
  <c r="AC93" i="2" s="1"/>
  <c r="V93" i="2"/>
  <c r="U93" i="2"/>
  <c r="T93" i="2"/>
  <c r="S93" i="2"/>
  <c r="Q93" i="2"/>
  <c r="L93" i="2"/>
  <c r="E93" i="2"/>
  <c r="E92" i="2" s="1"/>
  <c r="R92" i="2" s="1"/>
  <c r="AE92" i="2"/>
  <c r="AB92" i="2"/>
  <c r="AA92" i="2"/>
  <c r="Z92" i="2"/>
  <c r="Y92" i="2"/>
  <c r="W92" i="2"/>
  <c r="V92" i="2"/>
  <c r="U92" i="2"/>
  <c r="T92" i="2"/>
  <c r="AF92" i="2" s="1"/>
  <c r="S92" i="2"/>
  <c r="Q92" i="2"/>
  <c r="AC92" i="2" s="1"/>
  <c r="P92" i="2"/>
  <c r="L92" i="2"/>
  <c r="X92" i="2" s="1"/>
  <c r="AD92" i="2" s="1"/>
  <c r="AF91" i="2"/>
  <c r="AA91" i="2"/>
  <c r="Z91" i="2"/>
  <c r="W91" i="2"/>
  <c r="AC91" i="2" s="1"/>
  <c r="U91" i="2"/>
  <c r="AG91" i="2" s="1"/>
  <c r="T91" i="2"/>
  <c r="Q91" i="2"/>
  <c r="P91" i="2"/>
  <c r="L91" i="2"/>
  <c r="L90" i="2" s="1"/>
  <c r="X90" i="2" s="1"/>
  <c r="AD90" i="2" s="1"/>
  <c r="E91" i="2"/>
  <c r="AF90" i="2"/>
  <c r="AC90" i="2"/>
  <c r="AA90" i="2"/>
  <c r="Z90" i="2"/>
  <c r="Y90" i="2"/>
  <c r="AE90" i="2" s="1"/>
  <c r="W90" i="2"/>
  <c r="V90" i="2"/>
  <c r="U90" i="2"/>
  <c r="T90" i="2"/>
  <c r="S90" i="2"/>
  <c r="Q90" i="2"/>
  <c r="P90" i="2"/>
  <c r="AB90" i="2" s="1"/>
  <c r="E90" i="2"/>
  <c r="R90" i="2" s="1"/>
  <c r="AC89" i="2"/>
  <c r="AA89" i="2"/>
  <c r="Z89" i="2"/>
  <c r="AF89" i="2" s="1"/>
  <c r="W89" i="2"/>
  <c r="V89" i="2"/>
  <c r="AB89" i="2" s="1"/>
  <c r="U89" i="2"/>
  <c r="T89" i="2"/>
  <c r="Q89" i="2"/>
  <c r="P89" i="2"/>
  <c r="L89" i="2"/>
  <c r="E89" i="2"/>
  <c r="AG88" i="2"/>
  <c r="AB88" i="2"/>
  <c r="AA88" i="2"/>
  <c r="Z88" i="2"/>
  <c r="Y88" i="2"/>
  <c r="AE88" i="2" s="1"/>
  <c r="X88" i="2"/>
  <c r="AD88" i="2" s="1"/>
  <c r="W88" i="2"/>
  <c r="V88" i="2"/>
  <c r="U88" i="2"/>
  <c r="T88" i="2"/>
  <c r="S88" i="2"/>
  <c r="Q88" i="2"/>
  <c r="AC88" i="2" s="1"/>
  <c r="P88" i="2"/>
  <c r="L88" i="2"/>
  <c r="E88" i="2"/>
  <c r="R88" i="2" s="1"/>
  <c r="Z87" i="2"/>
  <c r="AF87" i="2" s="1"/>
  <c r="W87" i="2"/>
  <c r="T87" i="2"/>
  <c r="Q87" i="2"/>
  <c r="L87" i="2"/>
  <c r="L86" i="2" s="1"/>
  <c r="X86" i="2" s="1"/>
  <c r="AD86" i="2" s="1"/>
  <c r="E87" i="2"/>
  <c r="AG86" i="2"/>
  <c r="AE86" i="2"/>
  <c r="AB86" i="2"/>
  <c r="AA86" i="2"/>
  <c r="Z86" i="2"/>
  <c r="Y86" i="2"/>
  <c r="W86" i="2"/>
  <c r="AC86" i="2" s="1"/>
  <c r="V86" i="2"/>
  <c r="U86" i="2"/>
  <c r="T86" i="2"/>
  <c r="AF86" i="2" s="1"/>
  <c r="S86" i="2"/>
  <c r="Q86" i="2"/>
  <c r="P86" i="2"/>
  <c r="E86" i="2"/>
  <c r="R86" i="2" s="1"/>
  <c r="AA85" i="2"/>
  <c r="Z85" i="2"/>
  <c r="W85" i="2"/>
  <c r="U85" i="2"/>
  <c r="AG85" i="2" s="1"/>
  <c r="T85" i="2"/>
  <c r="Q85" i="2"/>
  <c r="L85" i="2"/>
  <c r="E85" i="2"/>
  <c r="E84" i="2" s="1"/>
  <c r="R84" i="2" s="1"/>
  <c r="AF84" i="2"/>
  <c r="AA84" i="2"/>
  <c r="Z84" i="2"/>
  <c r="Y84" i="2"/>
  <c r="W84" i="2"/>
  <c r="AC84" i="2" s="1"/>
  <c r="V84" i="2"/>
  <c r="AB84" i="2" s="1"/>
  <c r="U84" i="2"/>
  <c r="T84" i="2"/>
  <c r="S84" i="2"/>
  <c r="Q84" i="2"/>
  <c r="P84" i="2"/>
  <c r="L84" i="2"/>
  <c r="X84" i="2" s="1"/>
  <c r="AG83" i="2"/>
  <c r="AA83" i="2"/>
  <c r="Z83" i="2"/>
  <c r="AF83" i="2" s="1"/>
  <c r="W83" i="2"/>
  <c r="U83" i="2"/>
  <c r="T83" i="2"/>
  <c r="Q83" i="2"/>
  <c r="AC83" i="2" s="1"/>
  <c r="L83" i="2"/>
  <c r="E83" i="2"/>
  <c r="AB82" i="2"/>
  <c r="AA82" i="2"/>
  <c r="Z82" i="2"/>
  <c r="Y82" i="2"/>
  <c r="AE82" i="2" s="1"/>
  <c r="X82" i="2"/>
  <c r="AD82" i="2" s="1"/>
  <c r="W82" i="2"/>
  <c r="V82" i="2"/>
  <c r="U82" i="2"/>
  <c r="AG82" i="2" s="1"/>
  <c r="T82" i="2"/>
  <c r="S82" i="2"/>
  <c r="Q82" i="2"/>
  <c r="AC82" i="2" s="1"/>
  <c r="P82" i="2"/>
  <c r="L82" i="2"/>
  <c r="E82" i="2"/>
  <c r="R82" i="2" s="1"/>
  <c r="AG81" i="2"/>
  <c r="AF81" i="2"/>
  <c r="AA81" i="2"/>
  <c r="Z81" i="2"/>
  <c r="W81" i="2"/>
  <c r="U81" i="2"/>
  <c r="T81" i="2"/>
  <c r="Q81" i="2"/>
  <c r="L81" i="2"/>
  <c r="L80" i="2" s="1"/>
  <c r="X80" i="2" s="1"/>
  <c r="AD80" i="2" s="1"/>
  <c r="E81" i="2"/>
  <c r="AF80" i="2"/>
  <c r="AC80" i="2"/>
  <c r="AA80" i="2"/>
  <c r="AG80" i="2" s="1"/>
  <c r="Z80" i="2"/>
  <c r="Y80" i="2"/>
  <c r="AE80" i="2" s="1"/>
  <c r="W80" i="2"/>
  <c r="V80" i="2"/>
  <c r="U80" i="2"/>
  <c r="T80" i="2"/>
  <c r="S80" i="2"/>
  <c r="Q80" i="2"/>
  <c r="P80" i="2"/>
  <c r="AB80" i="2" s="1"/>
  <c r="E80" i="2"/>
  <c r="R80" i="2" s="1"/>
  <c r="AG79" i="2"/>
  <c r="AF79" i="2"/>
  <c r="AA79" i="2"/>
  <c r="Z79" i="2"/>
  <c r="W79" i="2"/>
  <c r="AC79" i="2" s="1"/>
  <c r="U79" i="2"/>
  <c r="T79" i="2"/>
  <c r="Q79" i="2"/>
  <c r="L79" i="2"/>
  <c r="L78" i="2" s="1"/>
  <c r="X78" i="2" s="1"/>
  <c r="E79" i="2"/>
  <c r="AF78" i="2"/>
  <c r="AD78" i="2"/>
  <c r="AA78" i="2"/>
  <c r="AG78" i="2" s="1"/>
  <c r="Z78" i="2"/>
  <c r="Y78" i="2"/>
  <c r="W78" i="2"/>
  <c r="AC78" i="2" s="1"/>
  <c r="V78" i="2"/>
  <c r="AB78" i="2" s="1"/>
  <c r="U78" i="2"/>
  <c r="T78" i="2"/>
  <c r="S78" i="2"/>
  <c r="AE78" i="2" s="1"/>
  <c r="Q78" i="2"/>
  <c r="P78" i="2"/>
  <c r="E78" i="2"/>
  <c r="R78" i="2" s="1"/>
  <c r="AF77" i="2"/>
  <c r="AA77" i="2"/>
  <c r="AG77" i="2" s="1"/>
  <c r="Z77" i="2"/>
  <c r="W77" i="2"/>
  <c r="AC77" i="2" s="1"/>
  <c r="V77" i="2"/>
  <c r="AB77" i="2" s="1"/>
  <c r="U77" i="2"/>
  <c r="T77" i="2"/>
  <c r="Q77" i="2"/>
  <c r="P77" i="2"/>
  <c r="L77" i="2"/>
  <c r="E77" i="2"/>
  <c r="E76" i="2" s="1"/>
  <c r="R76" i="2" s="1"/>
  <c r="AD76" i="2" s="1"/>
  <c r="AF76" i="2"/>
  <c r="AC76" i="2"/>
  <c r="AA76" i="2"/>
  <c r="Z76" i="2"/>
  <c r="Y76" i="2"/>
  <c r="AE76" i="2" s="1"/>
  <c r="X76" i="2"/>
  <c r="W76" i="2"/>
  <c r="V76" i="2"/>
  <c r="AB76" i="2" s="1"/>
  <c r="U76" i="2"/>
  <c r="AG76" i="2" s="1"/>
  <c r="T76" i="2"/>
  <c r="S76" i="2"/>
  <c r="Q76" i="2"/>
  <c r="P76" i="2"/>
  <c r="L76" i="2"/>
  <c r="AG75" i="2"/>
  <c r="AA75" i="2"/>
  <c r="Z75" i="2"/>
  <c r="W75" i="2"/>
  <c r="V75" i="2"/>
  <c r="U75" i="2"/>
  <c r="T75" i="2"/>
  <c r="S75" i="2"/>
  <c r="Q75" i="2"/>
  <c r="P75" i="2"/>
  <c r="L75" i="2"/>
  <c r="E75" i="2"/>
  <c r="E74" i="2" s="1"/>
  <c r="R74" i="2" s="1"/>
  <c r="AF74" i="2"/>
  <c r="AA74" i="2"/>
  <c r="Z74" i="2"/>
  <c r="Y74" i="2"/>
  <c r="AE74" i="2" s="1"/>
  <c r="X74" i="2"/>
  <c r="W74" i="2"/>
  <c r="V74" i="2"/>
  <c r="U74" i="2"/>
  <c r="AG74" i="2" s="1"/>
  <c r="T74" i="2"/>
  <c r="S74" i="2"/>
  <c r="Q74" i="2"/>
  <c r="AC74" i="2" s="1"/>
  <c r="P74" i="2"/>
  <c r="AB74" i="2" s="1"/>
  <c r="L74" i="2"/>
  <c r="Z73" i="2"/>
  <c r="W73" i="2"/>
  <c r="T73" i="2"/>
  <c r="AF73" i="2" s="1"/>
  <c r="Q73" i="2"/>
  <c r="AC73" i="2" s="1"/>
  <c r="L73" i="2"/>
  <c r="E73" i="2"/>
  <c r="AG72" i="2"/>
  <c r="AA72" i="2"/>
  <c r="Z72" i="2"/>
  <c r="AF72" i="2" s="1"/>
  <c r="Y72" i="2"/>
  <c r="AE72" i="2" s="1"/>
  <c r="X72" i="2"/>
  <c r="W72" i="2"/>
  <c r="V72" i="2"/>
  <c r="AB72" i="2" s="1"/>
  <c r="U72" i="2"/>
  <c r="T72" i="2"/>
  <c r="S72" i="2"/>
  <c r="Q72" i="2"/>
  <c r="AC72" i="2" s="1"/>
  <c r="P72" i="2"/>
  <c r="L72" i="2"/>
  <c r="E72" i="2"/>
  <c r="R72" i="2" s="1"/>
  <c r="AD72" i="2" s="1"/>
  <c r="AA71" i="2"/>
  <c r="AG71" i="2" s="1"/>
  <c r="Z71" i="2"/>
  <c r="W71" i="2"/>
  <c r="V71" i="2"/>
  <c r="U71" i="2"/>
  <c r="T71" i="2"/>
  <c r="Q71" i="2"/>
  <c r="P71" i="2"/>
  <c r="L71" i="2"/>
  <c r="E71" i="2"/>
  <c r="E70" i="2" s="1"/>
  <c r="R70" i="2" s="1"/>
  <c r="AA70" i="2"/>
  <c r="AG70" i="2" s="1"/>
  <c r="Z70" i="2"/>
  <c r="AF70" i="2" s="1"/>
  <c r="Y70" i="2"/>
  <c r="W70" i="2"/>
  <c r="AC70" i="2" s="1"/>
  <c r="V70" i="2"/>
  <c r="AB70" i="2" s="1"/>
  <c r="U70" i="2"/>
  <c r="T70" i="2"/>
  <c r="S70" i="2"/>
  <c r="AE70" i="2" s="1"/>
  <c r="Q70" i="2"/>
  <c r="P70" i="2"/>
  <c r="L70" i="2"/>
  <c r="X70" i="2" s="1"/>
  <c r="AD70" i="2" s="1"/>
  <c r="AC69" i="2"/>
  <c r="AA69" i="2"/>
  <c r="AG69" i="2" s="1"/>
  <c r="Z69" i="2"/>
  <c r="W69" i="2"/>
  <c r="U69" i="2"/>
  <c r="T69" i="2"/>
  <c r="Q69" i="2"/>
  <c r="L69" i="2"/>
  <c r="E69" i="2"/>
  <c r="AG68" i="2"/>
  <c r="AB68" i="2"/>
  <c r="AA68" i="2"/>
  <c r="Z68" i="2"/>
  <c r="Y68" i="2"/>
  <c r="AE68" i="2" s="1"/>
  <c r="X68" i="2"/>
  <c r="AD68" i="2" s="1"/>
  <c r="W68" i="2"/>
  <c r="V68" i="2"/>
  <c r="U68" i="2"/>
  <c r="T68" i="2"/>
  <c r="S68" i="2"/>
  <c r="Q68" i="2"/>
  <c r="AC68" i="2" s="1"/>
  <c r="P68" i="2"/>
  <c r="L68" i="2"/>
  <c r="E68" i="2"/>
  <c r="R68" i="2" s="1"/>
  <c r="Z67" i="2"/>
  <c r="AF67" i="2" s="1"/>
  <c r="W67" i="2"/>
  <c r="U67" i="2"/>
  <c r="T67" i="2"/>
  <c r="Q67" i="2"/>
  <c r="L67" i="2"/>
  <c r="E67" i="2"/>
  <c r="E66" i="2" s="1"/>
  <c r="R66" i="2" s="1"/>
  <c r="AF66" i="2"/>
  <c r="AA66" i="2"/>
  <c r="Z66" i="2"/>
  <c r="Y66" i="2"/>
  <c r="AE66" i="2" s="1"/>
  <c r="X66" i="2"/>
  <c r="W66" i="2"/>
  <c r="V66" i="2"/>
  <c r="U66" i="2"/>
  <c r="AG66" i="2" s="1"/>
  <c r="T66" i="2"/>
  <c r="S66" i="2"/>
  <c r="Q66" i="2"/>
  <c r="AC66" i="2" s="1"/>
  <c r="P66" i="2"/>
  <c r="AB66" i="2" s="1"/>
  <c r="L66" i="2"/>
  <c r="AF65" i="2"/>
  <c r="AA65" i="2"/>
  <c r="Z65" i="2"/>
  <c r="W65" i="2"/>
  <c r="AC65" i="2" s="1"/>
  <c r="U65" i="2"/>
  <c r="T65" i="2"/>
  <c r="Q65" i="2"/>
  <c r="L65" i="2"/>
  <c r="E65" i="2"/>
  <c r="AF64" i="2"/>
  <c r="AA64" i="2"/>
  <c r="Z64" i="2"/>
  <c r="Y64" i="2"/>
  <c r="W64" i="2"/>
  <c r="V64" i="2"/>
  <c r="AB64" i="2" s="1"/>
  <c r="U64" i="2"/>
  <c r="T64" i="2"/>
  <c r="S64" i="2"/>
  <c r="Q64" i="2"/>
  <c r="P64" i="2"/>
  <c r="L64" i="2"/>
  <c r="X64" i="2" s="1"/>
  <c r="AD64" i="2" s="1"/>
  <c r="E64" i="2"/>
  <c r="R64" i="2" s="1"/>
  <c r="AF63" i="2"/>
  <c r="AA63" i="2"/>
  <c r="Z63" i="2"/>
  <c r="W63" i="2"/>
  <c r="U63" i="2"/>
  <c r="T63" i="2"/>
  <c r="Q63" i="2"/>
  <c r="L63" i="2"/>
  <c r="L62" i="2" s="1"/>
  <c r="X62" i="2" s="1"/>
  <c r="AD62" i="2" s="1"/>
  <c r="E63" i="2"/>
  <c r="AA62" i="2"/>
  <c r="AG62" i="2" s="1"/>
  <c r="Z62" i="2"/>
  <c r="AF62" i="2" s="1"/>
  <c r="Y62" i="2"/>
  <c r="W62" i="2"/>
  <c r="AC62" i="2" s="1"/>
  <c r="V62" i="2"/>
  <c r="U62" i="2"/>
  <c r="T62" i="2"/>
  <c r="S62" i="2"/>
  <c r="Q62" i="2"/>
  <c r="P62" i="2"/>
  <c r="AB62" i="2" s="1"/>
  <c r="E62" i="2"/>
  <c r="R62" i="2" s="1"/>
  <c r="AC61" i="2"/>
  <c r="AA61" i="2"/>
  <c r="AG61" i="2" s="1"/>
  <c r="Z61" i="2"/>
  <c r="W61" i="2"/>
  <c r="U61" i="2"/>
  <c r="T61" i="2"/>
  <c r="Q61" i="2"/>
  <c r="L61" i="2"/>
  <c r="E61" i="2"/>
  <c r="AG60" i="2"/>
  <c r="AB60" i="2"/>
  <c r="AA60" i="2"/>
  <c r="Z60" i="2"/>
  <c r="Y60" i="2"/>
  <c r="AE60" i="2" s="1"/>
  <c r="X60" i="2"/>
  <c r="AD60" i="2" s="1"/>
  <c r="W60" i="2"/>
  <c r="V60" i="2"/>
  <c r="U60" i="2"/>
  <c r="T60" i="2"/>
  <c r="S60" i="2"/>
  <c r="Q60" i="2"/>
  <c r="AC60" i="2" s="1"/>
  <c r="P60" i="2"/>
  <c r="L60" i="2"/>
  <c r="E60" i="2"/>
  <c r="R60" i="2" s="1"/>
  <c r="AF59" i="2"/>
  <c r="AA59" i="2"/>
  <c r="AG59" i="2" s="1"/>
  <c r="Z59" i="2"/>
  <c r="Y59" i="2"/>
  <c r="W59" i="2"/>
  <c r="AC59" i="2" s="1"/>
  <c r="V59" i="2"/>
  <c r="U59" i="2"/>
  <c r="T59" i="2"/>
  <c r="S59" i="2"/>
  <c r="Q59" i="2"/>
  <c r="P59" i="2"/>
  <c r="AB59" i="2" s="1"/>
  <c r="L59" i="2"/>
  <c r="X59" i="2" s="1"/>
  <c r="E59" i="2"/>
  <c r="R59" i="2" s="1"/>
  <c r="AA58" i="2"/>
  <c r="AG58" i="2" s="1"/>
  <c r="Z58" i="2"/>
  <c r="AF58" i="2" s="1"/>
  <c r="W58" i="2"/>
  <c r="AC58" i="2" s="1"/>
  <c r="V58" i="2"/>
  <c r="AB58" i="2" s="1"/>
  <c r="U58" i="2"/>
  <c r="T58" i="2"/>
  <c r="Q58" i="2"/>
  <c r="P58" i="2"/>
  <c r="L58" i="2"/>
  <c r="E58" i="2"/>
  <c r="AG57" i="2"/>
  <c r="AA57" i="2"/>
  <c r="Z57" i="2"/>
  <c r="AF57" i="2" s="1"/>
  <c r="Y57" i="2"/>
  <c r="AE57" i="2" s="1"/>
  <c r="W57" i="2"/>
  <c r="V57" i="2"/>
  <c r="AB57" i="2" s="1"/>
  <c r="U57" i="2"/>
  <c r="T57" i="2"/>
  <c r="S57" i="2"/>
  <c r="Q57" i="2"/>
  <c r="AC57" i="2" s="1"/>
  <c r="P57" i="2"/>
  <c r="L57" i="2"/>
  <c r="X57" i="2" s="1"/>
  <c r="AD57" i="2" s="1"/>
  <c r="E57" i="2"/>
  <c r="R57" i="2" s="1"/>
  <c r="AG56" i="2"/>
  <c r="AA56" i="2"/>
  <c r="Z56" i="2"/>
  <c r="Y56" i="2"/>
  <c r="W56" i="2"/>
  <c r="AC56" i="2" s="1"/>
  <c r="U56" i="2"/>
  <c r="T56" i="2"/>
  <c r="Q56" i="2"/>
  <c r="L56" i="2"/>
  <c r="E56" i="2"/>
  <c r="AG55" i="2"/>
  <c r="AA55" i="2"/>
  <c r="Z55" i="2"/>
  <c r="AF55" i="2" s="1"/>
  <c r="Y55" i="2"/>
  <c r="AE55" i="2" s="1"/>
  <c r="W55" i="2"/>
  <c r="V55" i="2"/>
  <c r="AB55" i="2" s="1"/>
  <c r="U55" i="2"/>
  <c r="T55" i="2"/>
  <c r="S55" i="2"/>
  <c r="Q55" i="2"/>
  <c r="AC55" i="2" s="1"/>
  <c r="P55" i="2"/>
  <c r="L55" i="2"/>
  <c r="X55" i="2" s="1"/>
  <c r="AD55" i="2" s="1"/>
  <c r="E55" i="2"/>
  <c r="R55" i="2" s="1"/>
  <c r="AF54" i="2"/>
  <c r="AA54" i="2"/>
  <c r="Z54" i="2"/>
  <c r="W54" i="2"/>
  <c r="V54" i="2"/>
  <c r="U54" i="2"/>
  <c r="T54" i="2"/>
  <c r="Q54" i="2"/>
  <c r="P54" i="2"/>
  <c r="L54" i="2"/>
  <c r="E54" i="2"/>
  <c r="AC53" i="2"/>
  <c r="AA53" i="2"/>
  <c r="Z53" i="2"/>
  <c r="AF53" i="2" s="1"/>
  <c r="Y53" i="2"/>
  <c r="AE53" i="2" s="1"/>
  <c r="W53" i="2"/>
  <c r="V53" i="2"/>
  <c r="AB53" i="2" s="1"/>
  <c r="U53" i="2"/>
  <c r="AG53" i="2" s="1"/>
  <c r="T53" i="2"/>
  <c r="S53" i="2"/>
  <c r="Q53" i="2"/>
  <c r="P53" i="2"/>
  <c r="L53" i="2"/>
  <c r="X53" i="2" s="1"/>
  <c r="E53" i="2"/>
  <c r="R53" i="2" s="1"/>
  <c r="AA52" i="2"/>
  <c r="AG52" i="2" s="1"/>
  <c r="Z52" i="2"/>
  <c r="W52" i="2"/>
  <c r="AC52" i="2" s="1"/>
  <c r="U52" i="2"/>
  <c r="T52" i="2"/>
  <c r="Q52" i="2"/>
  <c r="P52" i="2"/>
  <c r="AB52" i="2" s="1"/>
  <c r="L52" i="2"/>
  <c r="E52" i="2"/>
  <c r="E111" i="2" s="1"/>
  <c r="AA51" i="2"/>
  <c r="AG51" i="2" s="1"/>
  <c r="Z51" i="2"/>
  <c r="AF51" i="2" s="1"/>
  <c r="Y51" i="2"/>
  <c r="X51" i="2"/>
  <c r="W51" i="2"/>
  <c r="AC51" i="2" s="1"/>
  <c r="V51" i="2"/>
  <c r="AB51" i="2" s="1"/>
  <c r="U51" i="2"/>
  <c r="T51" i="2"/>
  <c r="S51" i="2"/>
  <c r="AE51" i="2" s="1"/>
  <c r="Q51" i="2"/>
  <c r="P51" i="2"/>
  <c r="L51" i="2"/>
  <c r="AA50" i="2"/>
  <c r="AG50" i="2" s="1"/>
  <c r="Z50" i="2"/>
  <c r="Y50" i="2"/>
  <c r="X50" i="2"/>
  <c r="W50" i="2"/>
  <c r="AC50" i="2" s="1"/>
  <c r="V50" i="2"/>
  <c r="AB50" i="2" s="1"/>
  <c r="U50" i="2"/>
  <c r="T50" i="2"/>
  <c r="S50" i="2"/>
  <c r="AE50" i="2" s="1"/>
  <c r="Q50" i="2"/>
  <c r="P50" i="2"/>
  <c r="L50" i="2"/>
  <c r="E50" i="2"/>
  <c r="R50" i="2" s="1"/>
  <c r="AD50" i="2" s="1"/>
  <c r="L43" i="2"/>
  <c r="E43" i="2"/>
  <c r="N41" i="2"/>
  <c r="M41" i="2"/>
  <c r="J41" i="2"/>
  <c r="I41" i="2"/>
  <c r="F41" i="2"/>
  <c r="B41" i="2"/>
  <c r="O40" i="2"/>
  <c r="O41" i="2" s="1"/>
  <c r="N40" i="2"/>
  <c r="M40" i="2"/>
  <c r="K40" i="2"/>
  <c r="K41" i="2" s="1"/>
  <c r="J40" i="2"/>
  <c r="I40" i="2"/>
  <c r="H40" i="2"/>
  <c r="H41" i="2" s="1"/>
  <c r="G40" i="2"/>
  <c r="G41" i="2" s="1"/>
  <c r="F40" i="2"/>
  <c r="D40" i="2"/>
  <c r="D41" i="2" s="1"/>
  <c r="C40" i="2"/>
  <c r="C41" i="2" s="1"/>
  <c r="B40" i="2"/>
  <c r="O39" i="2"/>
  <c r="M39" i="2"/>
  <c r="K39" i="2"/>
  <c r="I39" i="2"/>
  <c r="G39" i="2"/>
  <c r="C39" i="2"/>
  <c r="AF38" i="2"/>
  <c r="T38" i="2"/>
  <c r="P38" i="2"/>
  <c r="O38" i="2"/>
  <c r="O112" i="2" s="1"/>
  <c r="N38" i="2"/>
  <c r="Z38" i="2" s="1"/>
  <c r="M38" i="2"/>
  <c r="M112" i="2" s="1"/>
  <c r="L38" i="2"/>
  <c r="X38" i="2" s="1"/>
  <c r="K38" i="2"/>
  <c r="K112" i="2" s="1"/>
  <c r="J38" i="2"/>
  <c r="J39" i="2" s="1"/>
  <c r="I38" i="2"/>
  <c r="I112" i="2" s="1"/>
  <c r="H38" i="2"/>
  <c r="G38" i="2"/>
  <c r="G112" i="2" s="1"/>
  <c r="G128" i="2" s="1"/>
  <c r="T128" i="2" s="1"/>
  <c r="F38" i="2"/>
  <c r="S38" i="2" s="1"/>
  <c r="D38" i="2"/>
  <c r="C38" i="2"/>
  <c r="B38" i="2"/>
  <c r="B112" i="2" s="1"/>
  <c r="AI37" i="2"/>
  <c r="AJ37" i="2" s="1"/>
  <c r="AA37" i="2"/>
  <c r="AG37" i="2" s="1"/>
  <c r="Z37" i="2"/>
  <c r="AF37" i="2" s="1"/>
  <c r="Y37" i="2"/>
  <c r="X37" i="2"/>
  <c r="W37" i="2"/>
  <c r="AC37" i="2" s="1"/>
  <c r="V37" i="2"/>
  <c r="AB37" i="2" s="1"/>
  <c r="U37" i="2"/>
  <c r="T37" i="2"/>
  <c r="S37" i="2"/>
  <c r="AE37" i="2" s="1"/>
  <c r="Q37" i="2"/>
  <c r="P37" i="2"/>
  <c r="L37" i="2"/>
  <c r="E37" i="2"/>
  <c r="R37" i="2" s="1"/>
  <c r="AD37" i="2" s="1"/>
  <c r="AF36" i="2"/>
  <c r="AA36" i="2"/>
  <c r="Z36" i="2"/>
  <c r="Y36" i="2"/>
  <c r="AE36" i="2" s="1"/>
  <c r="X36" i="2"/>
  <c r="W36" i="2"/>
  <c r="V36" i="2"/>
  <c r="U36" i="2"/>
  <c r="AG36" i="2" s="1"/>
  <c r="T36" i="2"/>
  <c r="S36" i="2"/>
  <c r="Q36" i="2"/>
  <c r="AC36" i="2" s="1"/>
  <c r="P36" i="2"/>
  <c r="AB36" i="2" s="1"/>
  <c r="L36" i="2"/>
  <c r="E36" i="2"/>
  <c r="R36" i="2" s="1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AG34" i="2" s="1"/>
  <c r="Z34" i="2"/>
  <c r="Y34" i="2"/>
  <c r="W34" i="2"/>
  <c r="AC34" i="2" s="1"/>
  <c r="V34" i="2"/>
  <c r="U34" i="2"/>
  <c r="T34" i="2"/>
  <c r="AF34" i="2" s="1"/>
  <c r="S34" i="2"/>
  <c r="AE34" i="2" s="1"/>
  <c r="Q34" i="2"/>
  <c r="P34" i="2"/>
  <c r="AB34" i="2" s="1"/>
  <c r="L34" i="2"/>
  <c r="X34" i="2" s="1"/>
  <c r="E34" i="2"/>
  <c r="R34" i="2" s="1"/>
  <c r="AA33" i="2"/>
  <c r="AG33" i="2" s="1"/>
  <c r="Z33" i="2"/>
  <c r="AF33" i="2" s="1"/>
  <c r="Y33" i="2"/>
  <c r="W33" i="2"/>
  <c r="V33" i="2"/>
  <c r="U33" i="2"/>
  <c r="T33" i="2"/>
  <c r="S33" i="2"/>
  <c r="Q33" i="2"/>
  <c r="P33" i="2"/>
  <c r="AB33" i="2" s="1"/>
  <c r="L33" i="2"/>
  <c r="X33" i="2" s="1"/>
  <c r="AD33" i="2" s="1"/>
  <c r="E33" i="2"/>
  <c r="R33" i="2" s="1"/>
  <c r="AG32" i="2"/>
  <c r="AA32" i="2"/>
  <c r="Z32" i="2"/>
  <c r="Y32" i="2"/>
  <c r="AE32" i="2" s="1"/>
  <c r="X32" i="2"/>
  <c r="W32" i="2"/>
  <c r="V32" i="2"/>
  <c r="AI32" i="2" s="1"/>
  <c r="AJ32" i="2" s="1"/>
  <c r="U32" i="2"/>
  <c r="T32" i="2"/>
  <c r="S32" i="2"/>
  <c r="Q32" i="2"/>
  <c r="AC32" i="2" s="1"/>
  <c r="P32" i="2"/>
  <c r="AB32" i="2" s="1"/>
  <c r="L32" i="2"/>
  <c r="E32" i="2"/>
  <c r="R32" i="2" s="1"/>
  <c r="AA31" i="2"/>
  <c r="Z31" i="2"/>
  <c r="Z40" i="2" s="1"/>
  <c r="Z41" i="2" s="1"/>
  <c r="Y31" i="2"/>
  <c r="Y40" i="2" s="1"/>
  <c r="Y41" i="2" s="1"/>
  <c r="W31" i="2"/>
  <c r="AC31" i="2" s="1"/>
  <c r="V31" i="2"/>
  <c r="V40" i="2" s="1"/>
  <c r="V41" i="2" s="1"/>
  <c r="U31" i="2"/>
  <c r="U40" i="2" s="1"/>
  <c r="T31" i="2"/>
  <c r="T40" i="2" s="1"/>
  <c r="T41" i="2" s="1"/>
  <c r="S31" i="2"/>
  <c r="S40" i="2" s="1"/>
  <c r="S41" i="2" s="1"/>
  <c r="Q31" i="2"/>
  <c r="Q40" i="2" s="1"/>
  <c r="Q41" i="2" s="1"/>
  <c r="P31" i="2"/>
  <c r="L31" i="2"/>
  <c r="E31" i="2"/>
  <c r="R31" i="2" s="1"/>
  <c r="AA30" i="2"/>
  <c r="Z30" i="2"/>
  <c r="Y30" i="2"/>
  <c r="X30" i="2"/>
  <c r="W30" i="2"/>
  <c r="V30" i="2"/>
  <c r="U30" i="2"/>
  <c r="T30" i="2"/>
  <c r="S30" i="2"/>
  <c r="R30" i="2"/>
  <c r="Q30" i="2"/>
  <c r="P30" i="2"/>
  <c r="AC29" i="2"/>
  <c r="AA29" i="2"/>
  <c r="Z29" i="2"/>
  <c r="AF29" i="2" s="1"/>
  <c r="Y29" i="2"/>
  <c r="AE29" i="2" s="1"/>
  <c r="W29" i="2"/>
  <c r="V29" i="2"/>
  <c r="AB29" i="2" s="1"/>
  <c r="U29" i="2"/>
  <c r="AG29" i="2" s="1"/>
  <c r="T29" i="2"/>
  <c r="S29" i="2"/>
  <c r="Q29" i="2"/>
  <c r="AK35" i="2" s="1"/>
  <c r="P29" i="2"/>
  <c r="L29" i="2"/>
  <c r="X29" i="2" s="1"/>
  <c r="E29" i="2"/>
  <c r="R29" i="2" s="1"/>
  <c r="AE28" i="2"/>
  <c r="AA28" i="2"/>
  <c r="Z28" i="2"/>
  <c r="Y28" i="2"/>
  <c r="W28" i="2"/>
  <c r="V28" i="2"/>
  <c r="AB28" i="2" s="1"/>
  <c r="U28" i="2"/>
  <c r="T28" i="2"/>
  <c r="S28" i="2"/>
  <c r="Q28" i="2"/>
  <c r="P28" i="2"/>
  <c r="L28" i="2"/>
  <c r="X28" i="2" s="1"/>
  <c r="E28" i="2"/>
  <c r="R28" i="2" s="1"/>
  <c r="AA27" i="2"/>
  <c r="Z27" i="2"/>
  <c r="Y27" i="2"/>
  <c r="X27" i="2"/>
  <c r="W27" i="2"/>
  <c r="V27" i="2"/>
  <c r="AI27" i="2" s="1"/>
  <c r="AJ27" i="2" s="1"/>
  <c r="U27" i="2"/>
  <c r="S27" i="2"/>
  <c r="P27" i="2"/>
  <c r="L27" i="2"/>
  <c r="E27" i="2"/>
  <c r="R27" i="2" s="1"/>
  <c r="AI26" i="2"/>
  <c r="AJ26" i="2" s="1"/>
  <c r="AA26" i="2"/>
  <c r="AG26" i="2" s="1"/>
  <c r="Z26" i="2"/>
  <c r="Y26" i="2"/>
  <c r="AE26" i="2" s="1"/>
  <c r="X26" i="2"/>
  <c r="W26" i="2"/>
  <c r="V26" i="2"/>
  <c r="U26" i="2"/>
  <c r="T26" i="2"/>
  <c r="S26" i="2"/>
  <c r="Q26" i="2"/>
  <c r="P26" i="2"/>
  <c r="AB26" i="2" s="1"/>
  <c r="L26" i="2"/>
  <c r="E26" i="2"/>
  <c r="R26" i="2" s="1"/>
  <c r="AG25" i="2"/>
  <c r="AC25" i="2"/>
  <c r="AA25" i="2"/>
  <c r="Z25" i="2"/>
  <c r="AF25" i="2" s="1"/>
  <c r="Y25" i="2"/>
  <c r="AE25" i="2" s="1"/>
  <c r="W25" i="2"/>
  <c r="V25" i="2"/>
  <c r="AB25" i="2" s="1"/>
  <c r="U25" i="2"/>
  <c r="T25" i="2"/>
  <c r="S25" i="2"/>
  <c r="Q25" i="2"/>
  <c r="P25" i="2"/>
  <c r="L25" i="2"/>
  <c r="X25" i="2" s="1"/>
  <c r="E25" i="2"/>
  <c r="R25" i="2" s="1"/>
  <c r="AB24" i="2"/>
  <c r="AA24" i="2"/>
  <c r="AG24" i="2" s="1"/>
  <c r="Z24" i="2"/>
  <c r="Y24" i="2"/>
  <c r="X24" i="2"/>
  <c r="W24" i="2"/>
  <c r="V24" i="2"/>
  <c r="U24" i="2"/>
  <c r="T24" i="2"/>
  <c r="S24" i="2"/>
  <c r="Q24" i="2"/>
  <c r="AC24" i="2" s="1"/>
  <c r="P24" i="2"/>
  <c r="L24" i="2"/>
  <c r="E24" i="2"/>
  <c r="R24" i="2" s="1"/>
  <c r="AG23" i="2"/>
  <c r="AA23" i="2"/>
  <c r="Z23" i="2"/>
  <c r="AF23" i="2" s="1"/>
  <c r="Y23" i="2"/>
  <c r="AE23" i="2" s="1"/>
  <c r="W23" i="2"/>
  <c r="V23" i="2"/>
  <c r="AB23" i="2" s="1"/>
  <c r="U23" i="2"/>
  <c r="T23" i="2"/>
  <c r="S23" i="2"/>
  <c r="Q23" i="2"/>
  <c r="AC23" i="2" s="1"/>
  <c r="P23" i="2"/>
  <c r="L23" i="2"/>
  <c r="X23" i="2" s="1"/>
  <c r="AD23" i="2" s="1"/>
  <c r="E23" i="2"/>
  <c r="R23" i="2" s="1"/>
  <c r="AA22" i="2"/>
  <c r="AG22" i="2" s="1"/>
  <c r="Z22" i="2"/>
  <c r="AF22" i="2" s="1"/>
  <c r="Y22" i="2"/>
  <c r="W22" i="2"/>
  <c r="AC22" i="2" s="1"/>
  <c r="V22" i="2"/>
  <c r="AB22" i="2" s="1"/>
  <c r="U22" i="2"/>
  <c r="T22" i="2"/>
  <c r="S22" i="2"/>
  <c r="AE22" i="2" s="1"/>
  <c r="Q22" i="2"/>
  <c r="P22" i="2"/>
  <c r="L22" i="2"/>
  <c r="X22" i="2" s="1"/>
  <c r="E22" i="2"/>
  <c r="R22" i="2" s="1"/>
  <c r="AA21" i="2"/>
  <c r="Z21" i="2"/>
  <c r="AF21" i="2" s="1"/>
  <c r="Y21" i="2"/>
  <c r="W21" i="2"/>
  <c r="AC21" i="2" s="1"/>
  <c r="V21" i="2"/>
  <c r="U21" i="2"/>
  <c r="T21" i="2"/>
  <c r="S21" i="2"/>
  <c r="AE21" i="2" s="1"/>
  <c r="Q21" i="2"/>
  <c r="P21" i="2"/>
  <c r="L21" i="2"/>
  <c r="X21" i="2" s="1"/>
  <c r="E21" i="2"/>
  <c r="R21" i="2" s="1"/>
  <c r="AA20" i="2"/>
  <c r="AG20" i="2" s="1"/>
  <c r="Z20" i="2"/>
  <c r="Y20" i="2"/>
  <c r="W20" i="2"/>
  <c r="AC20" i="2" s="1"/>
  <c r="V20" i="2"/>
  <c r="AI20" i="2" s="1"/>
  <c r="U20" i="2"/>
  <c r="T20" i="2"/>
  <c r="AF20" i="2" s="1"/>
  <c r="S20" i="2"/>
  <c r="AE20" i="2" s="1"/>
  <c r="Q20" i="2"/>
  <c r="P20" i="2"/>
  <c r="AB20" i="2" s="1"/>
  <c r="L20" i="2"/>
  <c r="X20" i="2" s="1"/>
  <c r="E20" i="2"/>
  <c r="R20" i="2" s="1"/>
  <c r="AA19" i="2"/>
  <c r="Z19" i="2"/>
  <c r="Y19" i="2"/>
  <c r="X19" i="2"/>
  <c r="AI19" i="2" s="1"/>
  <c r="W19" i="2"/>
  <c r="V19" i="2"/>
  <c r="U19" i="2"/>
  <c r="T19" i="2"/>
  <c r="S19" i="2"/>
  <c r="Q19" i="2"/>
  <c r="P19" i="2"/>
  <c r="L19" i="2"/>
  <c r="E19" i="2"/>
  <c r="R19" i="2" s="1"/>
  <c r="AG18" i="2"/>
  <c r="AA18" i="2"/>
  <c r="Z18" i="2"/>
  <c r="AF18" i="2" s="1"/>
  <c r="Y18" i="2"/>
  <c r="AE18" i="2" s="1"/>
  <c r="W18" i="2"/>
  <c r="V18" i="2"/>
  <c r="AB18" i="2" s="1"/>
  <c r="U18" i="2"/>
  <c r="T18" i="2"/>
  <c r="S18" i="2"/>
  <c r="Q18" i="2"/>
  <c r="AC18" i="2" s="1"/>
  <c r="P18" i="2"/>
  <c r="L18" i="2"/>
  <c r="X18" i="2" s="1"/>
  <c r="E18" i="2"/>
  <c r="R18" i="2" s="1"/>
  <c r="AA17" i="2"/>
  <c r="Z17" i="2"/>
  <c r="Y17" i="2"/>
  <c r="W17" i="2"/>
  <c r="AC17" i="2" s="1"/>
  <c r="V17" i="2"/>
  <c r="AB17" i="2" s="1"/>
  <c r="U17" i="2"/>
  <c r="T17" i="2"/>
  <c r="S17" i="2"/>
  <c r="Q17" i="2"/>
  <c r="P17" i="2"/>
  <c r="L17" i="2"/>
  <c r="X17" i="2" s="1"/>
  <c r="AI17" i="2" s="1"/>
  <c r="E17" i="2"/>
  <c r="R17" i="2" s="1"/>
  <c r="AA16" i="2"/>
  <c r="AG16" i="2" s="1"/>
  <c r="Z16" i="2"/>
  <c r="Y16" i="2"/>
  <c r="W16" i="2"/>
  <c r="AC16" i="2" s="1"/>
  <c r="V16" i="2"/>
  <c r="U16" i="2"/>
  <c r="T16" i="2"/>
  <c r="S16" i="2"/>
  <c r="AE16" i="2" s="1"/>
  <c r="Q16" i="2"/>
  <c r="P16" i="2"/>
  <c r="L16" i="2"/>
  <c r="X16" i="2" s="1"/>
  <c r="AD16" i="2" s="1"/>
  <c r="E16" i="2"/>
  <c r="R16" i="2" s="1"/>
  <c r="AA15" i="2"/>
  <c r="AG15" i="2" s="1"/>
  <c r="Z15" i="2"/>
  <c r="Y15" i="2"/>
  <c r="W15" i="2"/>
  <c r="AC15" i="2" s="1"/>
  <c r="V15" i="2"/>
  <c r="U15" i="2"/>
  <c r="T15" i="2"/>
  <c r="AF15" i="2" s="1"/>
  <c r="S15" i="2"/>
  <c r="AE15" i="2" s="1"/>
  <c r="Q15" i="2"/>
  <c r="P15" i="2"/>
  <c r="AB15" i="2" s="1"/>
  <c r="L15" i="2"/>
  <c r="X15" i="2" s="1"/>
  <c r="E15" i="2"/>
  <c r="R15" i="2" s="1"/>
  <c r="AB14" i="2"/>
  <c r="AA14" i="2"/>
  <c r="Z14" i="2"/>
  <c r="Y14" i="2"/>
  <c r="AE14" i="2" s="1"/>
  <c r="X14" i="2"/>
  <c r="W14" i="2"/>
  <c r="V14" i="2"/>
  <c r="AI14" i="2" s="1"/>
  <c r="U14" i="2"/>
  <c r="AG14" i="2" s="1"/>
  <c r="T14" i="2"/>
  <c r="AF14" i="2" s="1"/>
  <c r="S14" i="2"/>
  <c r="Q14" i="2"/>
  <c r="AC14" i="2" s="1"/>
  <c r="P14" i="2"/>
  <c r="L14" i="2"/>
  <c r="E14" i="2"/>
  <c r="R14" i="2" s="1"/>
  <c r="AG13" i="2"/>
  <c r="AA13" i="2"/>
  <c r="Z13" i="2"/>
  <c r="AF13" i="2" s="1"/>
  <c r="Y13" i="2"/>
  <c r="AE13" i="2" s="1"/>
  <c r="W13" i="2"/>
  <c r="V13" i="2"/>
  <c r="AB13" i="2" s="1"/>
  <c r="U13" i="2"/>
  <c r="T13" i="2"/>
  <c r="S13" i="2"/>
  <c r="Q13" i="2"/>
  <c r="AC13" i="2" s="1"/>
  <c r="P13" i="2"/>
  <c r="L13" i="2"/>
  <c r="X13" i="2" s="1"/>
  <c r="AD13" i="2" s="1"/>
  <c r="E13" i="2"/>
  <c r="R13" i="2" s="1"/>
  <c r="AJ12" i="2"/>
  <c r="AA12" i="2"/>
  <c r="Z12" i="2"/>
  <c r="Y12" i="2"/>
  <c r="W12" i="2"/>
  <c r="AC12" i="2" s="1"/>
  <c r="V12" i="2"/>
  <c r="AI12" i="2" s="1"/>
  <c r="U12" i="2"/>
  <c r="T12" i="2"/>
  <c r="S12" i="2"/>
  <c r="Q12" i="2"/>
  <c r="P12" i="2"/>
  <c r="AB12" i="2" s="1"/>
  <c r="L12" i="2"/>
  <c r="X12" i="2" s="1"/>
  <c r="E12" i="2"/>
  <c r="R12" i="2" s="1"/>
  <c r="AB11" i="2"/>
  <c r="AA11" i="2"/>
  <c r="Z11" i="2"/>
  <c r="Y11" i="2"/>
  <c r="AE11" i="2" s="1"/>
  <c r="X11" i="2"/>
  <c r="AD11" i="2" s="1"/>
  <c r="W11" i="2"/>
  <c r="V11" i="2"/>
  <c r="U11" i="2"/>
  <c r="AG11" i="2" s="1"/>
  <c r="T11" i="2"/>
  <c r="AF11" i="2" s="1"/>
  <c r="S11" i="2"/>
  <c r="Q11" i="2"/>
  <c r="AC11" i="2" s="1"/>
  <c r="P11" i="2"/>
  <c r="L11" i="2"/>
  <c r="E11" i="2"/>
  <c r="R11" i="2" s="1"/>
  <c r="AF10" i="2"/>
  <c r="AC10" i="2"/>
  <c r="AA10" i="2"/>
  <c r="Z10" i="2"/>
  <c r="Y10" i="2"/>
  <c r="AE10" i="2" s="1"/>
  <c r="X10" i="2"/>
  <c r="W10" i="2"/>
  <c r="V10" i="2"/>
  <c r="U10" i="2"/>
  <c r="AG10" i="2" s="1"/>
  <c r="T10" i="2"/>
  <c r="S10" i="2"/>
  <c r="Q10" i="2"/>
  <c r="P10" i="2"/>
  <c r="AB10" i="2" s="1"/>
  <c r="L10" i="2"/>
  <c r="E10" i="2"/>
  <c r="R10" i="2" s="1"/>
  <c r="X9" i="2"/>
  <c r="R9" i="2"/>
  <c r="O9" i="2"/>
  <c r="N9" i="2"/>
  <c r="M9" i="2"/>
  <c r="L9" i="2"/>
  <c r="K9" i="2"/>
  <c r="J9" i="2"/>
  <c r="I9" i="2"/>
  <c r="H9" i="2"/>
  <c r="G9" i="2"/>
  <c r="F9" i="2"/>
  <c r="D9" i="2"/>
  <c r="C9" i="2"/>
  <c r="B9" i="2"/>
  <c r="AJ3" i="2"/>
  <c r="M3" i="2"/>
  <c r="G16" i="5" l="1"/>
  <c r="H23" i="5"/>
  <c r="K12" i="6"/>
  <c r="O16" i="6"/>
  <c r="R17" i="6"/>
  <c r="K20" i="6"/>
  <c r="J21" i="6"/>
  <c r="T21" i="6"/>
  <c r="D23" i="6"/>
  <c r="J23" i="6"/>
  <c r="K29" i="6"/>
  <c r="D31" i="6"/>
  <c r="K31" i="6"/>
  <c r="S32" i="6"/>
  <c r="H16" i="5"/>
  <c r="H18" i="5"/>
  <c r="H20" i="5"/>
  <c r="H22" i="5"/>
  <c r="I23" i="5"/>
  <c r="S16" i="6"/>
  <c r="K19" i="6"/>
  <c r="K26" i="6"/>
  <c r="L29" i="6"/>
  <c r="T29" i="6"/>
  <c r="S13" i="6"/>
  <c r="O20" i="6"/>
  <c r="S24" i="6"/>
  <c r="T25" i="6"/>
  <c r="D27" i="6"/>
  <c r="R27" i="6"/>
  <c r="G32" i="6"/>
  <c r="H14" i="5"/>
  <c r="I22" i="5"/>
  <c r="G24" i="5"/>
  <c r="H29" i="5"/>
  <c r="O10" i="6"/>
  <c r="D11" i="6"/>
  <c r="K11" i="6"/>
  <c r="J13" i="6"/>
  <c r="T13" i="6"/>
  <c r="G14" i="6"/>
  <c r="R15" i="6"/>
  <c r="G17" i="6"/>
  <c r="O17" i="6"/>
  <c r="J19" i="6"/>
  <c r="J27" i="6"/>
  <c r="L28" i="6"/>
  <c r="S28" i="6"/>
  <c r="R31" i="6"/>
  <c r="T32" i="6"/>
  <c r="O33" i="6"/>
  <c r="K36" i="6"/>
  <c r="I14" i="5"/>
  <c r="H21" i="5"/>
  <c r="H31" i="5"/>
  <c r="I32" i="5"/>
  <c r="K14" i="6"/>
  <c r="S14" i="6"/>
  <c r="K17" i="6"/>
  <c r="K28" i="6"/>
  <c r="S30" i="6"/>
  <c r="K33" i="6"/>
  <c r="S33" i="6"/>
  <c r="S35" i="6"/>
  <c r="T36" i="6"/>
  <c r="G18" i="5"/>
  <c r="G20" i="5"/>
  <c r="G12" i="6"/>
  <c r="O12" i="6"/>
  <c r="D14" i="6"/>
  <c r="G15" i="6"/>
  <c r="O15" i="6"/>
  <c r="G19" i="6"/>
  <c r="S20" i="6"/>
  <c r="S21" i="6"/>
  <c r="O22" i="6"/>
  <c r="O26" i="6"/>
  <c r="G27" i="6"/>
  <c r="G28" i="6"/>
  <c r="O31" i="6"/>
  <c r="O32" i="6"/>
  <c r="D33" i="6"/>
  <c r="J35" i="6"/>
  <c r="R35" i="6"/>
  <c r="P29" i="9"/>
  <c r="P23" i="9"/>
  <c r="O34" i="9"/>
  <c r="J34" i="9"/>
  <c r="P8" i="9"/>
  <c r="T33" i="6"/>
  <c r="G29" i="5"/>
  <c r="I29" i="5"/>
  <c r="D29" i="6"/>
  <c r="S34" i="6"/>
  <c r="O36" i="6"/>
  <c r="D9" i="5"/>
  <c r="I9" i="5"/>
  <c r="G10" i="5"/>
  <c r="I13" i="5"/>
  <c r="D15" i="5"/>
  <c r="G21" i="5"/>
  <c r="I21" i="5"/>
  <c r="D33" i="5"/>
  <c r="I33" i="5"/>
  <c r="G34" i="5"/>
  <c r="D15" i="6"/>
  <c r="J31" i="6"/>
  <c r="G11" i="5"/>
  <c r="I11" i="5"/>
  <c r="D17" i="5"/>
  <c r="I17" i="5"/>
  <c r="H10" i="5"/>
  <c r="D25" i="5"/>
  <c r="I25" i="5"/>
  <c r="H34" i="5"/>
  <c r="T23" i="6"/>
  <c r="R23" i="6"/>
  <c r="G19" i="5"/>
  <c r="G35" i="5"/>
  <c r="O11" i="6"/>
  <c r="O19" i="6"/>
  <c r="S31" i="6"/>
  <c r="D34" i="6"/>
  <c r="R34" i="6"/>
  <c r="D36" i="6"/>
  <c r="H9" i="5"/>
  <c r="I10" i="5"/>
  <c r="D11" i="5"/>
  <c r="G15" i="5"/>
  <c r="H17" i="5"/>
  <c r="I18" i="5"/>
  <c r="D19" i="5"/>
  <c r="G23" i="5"/>
  <c r="H25" i="5"/>
  <c r="I26" i="5"/>
  <c r="D27" i="5"/>
  <c r="G31" i="5"/>
  <c r="H33" i="5"/>
  <c r="I34" i="5"/>
  <c r="D35" i="5"/>
  <c r="G10" i="6"/>
  <c r="K13" i="6"/>
  <c r="O13" i="6"/>
  <c r="O14" i="6"/>
  <c r="G16" i="6"/>
  <c r="G18" i="6"/>
  <c r="K21" i="6"/>
  <c r="O21" i="6"/>
  <c r="T24" i="6"/>
  <c r="S25" i="6"/>
  <c r="D26" i="6"/>
  <c r="J26" i="6"/>
  <c r="R26" i="6"/>
  <c r="D28" i="6"/>
  <c r="K30" i="6"/>
  <c r="O30" i="6"/>
  <c r="G31" i="6"/>
  <c r="L32" i="6"/>
  <c r="G33" i="6"/>
  <c r="D35" i="6"/>
  <c r="K35" i="6"/>
  <c r="O35" i="6"/>
  <c r="T35" i="6"/>
  <c r="H9" i="7"/>
  <c r="D23" i="5"/>
  <c r="G27" i="5"/>
  <c r="D31" i="5"/>
  <c r="G25" i="6"/>
  <c r="O27" i="6"/>
  <c r="O29" i="6"/>
  <c r="J34" i="6"/>
  <c r="G9" i="5"/>
  <c r="H11" i="5"/>
  <c r="I12" i="5"/>
  <c r="D13" i="5"/>
  <c r="G17" i="5"/>
  <c r="H19" i="5"/>
  <c r="I19" i="5"/>
  <c r="I20" i="5"/>
  <c r="D21" i="5"/>
  <c r="G25" i="5"/>
  <c r="H27" i="5"/>
  <c r="I27" i="5"/>
  <c r="I28" i="5"/>
  <c r="D29" i="5"/>
  <c r="G33" i="5"/>
  <c r="H35" i="5"/>
  <c r="I35" i="5"/>
  <c r="D10" i="6"/>
  <c r="S11" i="6"/>
  <c r="D12" i="6"/>
  <c r="G13" i="6"/>
  <c r="D16" i="6"/>
  <c r="D18" i="6"/>
  <c r="S19" i="6"/>
  <c r="D20" i="6"/>
  <c r="G21" i="6"/>
  <c r="K23" i="6"/>
  <c r="O23" i="6"/>
  <c r="K25" i="6"/>
  <c r="O25" i="6"/>
  <c r="S27" i="6"/>
  <c r="S29" i="6"/>
  <c r="D30" i="6"/>
  <c r="J30" i="6"/>
  <c r="R30" i="6"/>
  <c r="D32" i="6"/>
  <c r="K34" i="6"/>
  <c r="G35" i="6"/>
  <c r="H36" i="9"/>
  <c r="N36" i="9" s="1"/>
  <c r="N34" i="9"/>
  <c r="I36" i="9"/>
  <c r="H20" i="7"/>
  <c r="H13" i="7"/>
  <c r="H16" i="7"/>
  <c r="H14" i="7"/>
  <c r="F25" i="7"/>
  <c r="H8" i="7"/>
  <c r="J10" i="7"/>
  <c r="H12" i="7"/>
  <c r="H15" i="7"/>
  <c r="J17" i="7"/>
  <c r="H19" i="7"/>
  <c r="H22" i="7"/>
  <c r="E8" i="7"/>
  <c r="H11" i="7"/>
  <c r="E12" i="7"/>
  <c r="E15" i="7"/>
  <c r="C18" i="7"/>
  <c r="H18" i="7"/>
  <c r="E19" i="7"/>
  <c r="H21" i="7"/>
  <c r="E22" i="7"/>
  <c r="F23" i="7"/>
  <c r="G12" i="7" s="1"/>
  <c r="I12" i="7" s="1"/>
  <c r="J8" i="7"/>
  <c r="J12" i="7"/>
  <c r="J15" i="7"/>
  <c r="J19" i="7"/>
  <c r="J22" i="7"/>
  <c r="E10" i="7"/>
  <c r="E14" i="7"/>
  <c r="L17" i="6"/>
  <c r="J10" i="6"/>
  <c r="L10" i="6"/>
  <c r="L11" i="6"/>
  <c r="R14" i="6"/>
  <c r="T14" i="6"/>
  <c r="K16" i="6"/>
  <c r="J18" i="6"/>
  <c r="L18" i="6"/>
  <c r="L19" i="6"/>
  <c r="S23" i="6"/>
  <c r="K10" i="6"/>
  <c r="R11" i="6"/>
  <c r="L12" i="6"/>
  <c r="J12" i="6"/>
  <c r="L13" i="6"/>
  <c r="J15" i="6"/>
  <c r="S15" i="6"/>
  <c r="T16" i="6"/>
  <c r="R16" i="6"/>
  <c r="K18" i="6"/>
  <c r="R19" i="6"/>
  <c r="L20" i="6"/>
  <c r="J20" i="6"/>
  <c r="L21" i="6"/>
  <c r="J22" i="6"/>
  <c r="L22" i="6"/>
  <c r="R22" i="6"/>
  <c r="T22" i="6"/>
  <c r="T12" i="6"/>
  <c r="R12" i="6"/>
  <c r="L16" i="6"/>
  <c r="J16" i="6"/>
  <c r="T20" i="6"/>
  <c r="R20" i="6"/>
  <c r="R10" i="6"/>
  <c r="T10" i="6"/>
  <c r="R13" i="6"/>
  <c r="J14" i="6"/>
  <c r="L14" i="6"/>
  <c r="L15" i="6"/>
  <c r="J17" i="6"/>
  <c r="S17" i="6"/>
  <c r="R18" i="6"/>
  <c r="T18" i="6"/>
  <c r="R21" i="6"/>
  <c r="K22" i="6"/>
  <c r="G22" i="6"/>
  <c r="G23" i="6"/>
  <c r="L23" i="6"/>
  <c r="J25" i="6"/>
  <c r="R25" i="6"/>
  <c r="G26" i="6"/>
  <c r="L27" i="6"/>
  <c r="J29" i="6"/>
  <c r="R29" i="6"/>
  <c r="G30" i="6"/>
  <c r="L31" i="6"/>
  <c r="J33" i="6"/>
  <c r="R33" i="6"/>
  <c r="G34" i="6"/>
  <c r="L35" i="6"/>
  <c r="J24" i="6"/>
  <c r="R24" i="6"/>
  <c r="L26" i="6"/>
  <c r="T26" i="6"/>
  <c r="J28" i="6"/>
  <c r="R28" i="6"/>
  <c r="L30" i="6"/>
  <c r="T30" i="6"/>
  <c r="J32" i="6"/>
  <c r="R32" i="6"/>
  <c r="L34" i="6"/>
  <c r="T34" i="6"/>
  <c r="J36" i="6"/>
  <c r="R36" i="6"/>
  <c r="D12" i="5"/>
  <c r="D18" i="5"/>
  <c r="D20" i="5"/>
  <c r="D26" i="5"/>
  <c r="D28" i="5"/>
  <c r="D34" i="5"/>
  <c r="D10" i="5"/>
  <c r="D14" i="5"/>
  <c r="D16" i="5"/>
  <c r="D22" i="5"/>
  <c r="D24" i="5"/>
  <c r="D30" i="5"/>
  <c r="D32" i="5"/>
  <c r="AD21" i="2"/>
  <c r="AD22" i="2"/>
  <c r="H112" i="2"/>
  <c r="H39" i="2"/>
  <c r="U38" i="2"/>
  <c r="X49" i="2"/>
  <c r="AF50" i="2"/>
  <c r="E9" i="2"/>
  <c r="AI16" i="2"/>
  <c r="AB16" i="2"/>
  <c r="AD25" i="2"/>
  <c r="AI11" i="2"/>
  <c r="AD14" i="2"/>
  <c r="AD18" i="2"/>
  <c r="AD20" i="2"/>
  <c r="AD24" i="2"/>
  <c r="P40" i="2"/>
  <c r="P41" i="2" s="1"/>
  <c r="W40" i="2"/>
  <c r="W41" i="2" s="1"/>
  <c r="R40" i="2"/>
  <c r="R41" i="2" s="1"/>
  <c r="AE31" i="2"/>
  <c r="L112" i="2"/>
  <c r="L39" i="2"/>
  <c r="U41" i="2"/>
  <c r="AD15" i="2"/>
  <c r="AD28" i="2"/>
  <c r="AI21" i="2"/>
  <c r="AB21" i="2"/>
  <c r="AI22" i="2"/>
  <c r="AF56" i="2"/>
  <c r="AF60" i="2"/>
  <c r="AF68" i="2"/>
  <c r="AF82" i="2"/>
  <c r="R141" i="2"/>
  <c r="AD141" i="2" s="1"/>
  <c r="B141" i="2"/>
  <c r="P141" i="2" s="1"/>
  <c r="AD10" i="2"/>
  <c r="AK19" i="2"/>
  <c r="AI15" i="2"/>
  <c r="AI24" i="2"/>
  <c r="AD26" i="2"/>
  <c r="AD29" i="2"/>
  <c r="X43" i="2"/>
  <c r="AG31" i="2"/>
  <c r="AD32" i="2"/>
  <c r="AD34" i="2"/>
  <c r="AI36" i="2"/>
  <c r="AJ36" i="2" s="1"/>
  <c r="AA40" i="2"/>
  <c r="AA41" i="2" s="1"/>
  <c r="E51" i="2"/>
  <c r="AD59" i="2"/>
  <c r="AD66" i="2"/>
  <c r="AF71" i="2"/>
  <c r="AD74" i="2"/>
  <c r="AB75" i="2"/>
  <c r="AD100" i="2"/>
  <c r="F114" i="2"/>
  <c r="F128" i="2"/>
  <c r="S128" i="2" s="1"/>
  <c r="S112" i="2"/>
  <c r="S114" i="2" s="1"/>
  <c r="L40" i="2"/>
  <c r="L41" i="2" s="1"/>
  <c r="X31" i="2"/>
  <c r="AI33" i="2"/>
  <c r="AJ33" i="2" s="1"/>
  <c r="AI34" i="2"/>
  <c r="AJ34" i="2" s="1"/>
  <c r="AD36" i="2"/>
  <c r="D112" i="2"/>
  <c r="D39" i="2"/>
  <c r="AF52" i="2"/>
  <c r="AD53" i="2"/>
  <c r="AC54" i="2"/>
  <c r="AC64" i="2"/>
  <c r="AF75" i="2"/>
  <c r="AC99" i="2"/>
  <c r="AI18" i="2"/>
  <c r="AJ19" i="2"/>
  <c r="AI23" i="2"/>
  <c r="AI25" i="2"/>
  <c r="AI29" i="2"/>
  <c r="AJ29" i="2" s="1"/>
  <c r="AB31" i="2"/>
  <c r="AF31" i="2"/>
  <c r="E38" i="2"/>
  <c r="I128" i="2"/>
  <c r="V128" i="2" s="1"/>
  <c r="AB128" i="2" s="1"/>
  <c r="I114" i="2"/>
  <c r="V112" i="2"/>
  <c r="V114" i="2" s="1"/>
  <c r="M128" i="2"/>
  <c r="Y128" i="2" s="1"/>
  <c r="Y112" i="2"/>
  <c r="Y114" i="2" s="1"/>
  <c r="M114" i="2"/>
  <c r="Y38" i="2"/>
  <c r="AE38" i="2" s="1"/>
  <c r="B39" i="2"/>
  <c r="F39" i="2"/>
  <c r="N39" i="2"/>
  <c r="R43" i="2"/>
  <c r="L108" i="2"/>
  <c r="L111" i="2"/>
  <c r="AC63" i="2"/>
  <c r="AG64" i="2"/>
  <c r="AC81" i="2"/>
  <c r="AD84" i="2"/>
  <c r="AE84" i="2"/>
  <c r="N112" i="2"/>
  <c r="G114" i="2"/>
  <c r="P112" i="2"/>
  <c r="P114" i="2" s="1"/>
  <c r="B128" i="2"/>
  <c r="P128" i="2" s="1"/>
  <c r="B114" i="2"/>
  <c r="V38" i="2"/>
  <c r="E40" i="2"/>
  <c r="E41" i="2" s="1"/>
  <c r="R75" i="2"/>
  <c r="AF88" i="2"/>
  <c r="T112" i="2"/>
  <c r="T114" i="2" s="1"/>
  <c r="AI13" i="2"/>
  <c r="AI31" i="2"/>
  <c r="AJ31" i="2" s="1"/>
  <c r="AK31" i="2" s="1"/>
  <c r="K114" i="2"/>
  <c r="K128" i="2"/>
  <c r="W128" i="2" s="1"/>
  <c r="W112" i="2"/>
  <c r="W114" i="2" s="1"/>
  <c r="O114" i="2"/>
  <c r="O128" i="2"/>
  <c r="AA128" i="2" s="1"/>
  <c r="AA112" i="2"/>
  <c r="AA114" i="2" s="1"/>
  <c r="AA38" i="2"/>
  <c r="AF69" i="2"/>
  <c r="AC71" i="2"/>
  <c r="AC75" i="2"/>
  <c r="AG84" i="2"/>
  <c r="AG90" i="2"/>
  <c r="AD110" i="2"/>
  <c r="AF104" i="2"/>
  <c r="T144" i="2"/>
  <c r="AF144" i="2" s="1"/>
  <c r="E144" i="2"/>
  <c r="R144" i="2" s="1"/>
  <c r="AD144" i="2"/>
  <c r="AI144" i="2" s="1"/>
  <c r="AD146" i="2"/>
  <c r="AI146" i="2" s="1"/>
  <c r="AD147" i="2"/>
  <c r="AI147" i="2" s="1"/>
  <c r="X150" i="2"/>
  <c r="AB106" i="2"/>
  <c r="X138" i="2"/>
  <c r="AD138" i="2" s="1"/>
  <c r="I138" i="2"/>
  <c r="V138" i="2" s="1"/>
  <c r="AB138" i="2" s="1"/>
  <c r="AD139" i="2"/>
  <c r="AF142" i="2"/>
  <c r="AB146" i="2"/>
  <c r="I148" i="2"/>
  <c r="V148" i="2" s="1"/>
  <c r="AB148" i="2" s="1"/>
  <c r="K143" i="2"/>
  <c r="AC106" i="2"/>
  <c r="V108" i="2"/>
  <c r="AB108" i="2" s="1"/>
  <c r="I109" i="2"/>
  <c r="V109" i="2" s="1"/>
  <c r="AE108" i="2"/>
  <c r="Q108" i="2"/>
  <c r="AC108" i="2" s="1"/>
  <c r="M109" i="2"/>
  <c r="Y109" i="2" s="1"/>
  <c r="AG110" i="2"/>
  <c r="AC142" i="2"/>
  <c r="L143" i="2"/>
  <c r="X143" i="2" s="1"/>
  <c r="Y143" i="2"/>
  <c r="AE143" i="2" s="1"/>
  <c r="AD148" i="2"/>
  <c r="AI148" i="2" s="1"/>
  <c r="W148" i="2"/>
  <c r="AC148" i="2" s="1"/>
  <c r="I139" i="2"/>
  <c r="V139" i="2" s="1"/>
  <c r="AB139" i="2" s="1"/>
  <c r="R142" i="2"/>
  <c r="D144" i="2"/>
  <c r="Q145" i="2"/>
  <c r="AC145" i="2" s="1"/>
  <c r="B147" i="2"/>
  <c r="P147" i="2" s="1"/>
  <c r="AB147" i="2" s="1"/>
  <c r="B148" i="2"/>
  <c r="P148" i="2" s="1"/>
  <c r="I141" i="2"/>
  <c r="V141" i="2" s="1"/>
  <c r="AB141" i="2" s="1"/>
  <c r="L142" i="2"/>
  <c r="I140" i="2"/>
  <c r="V140" i="2" s="1"/>
  <c r="AB140" i="2" s="1"/>
  <c r="E143" i="2"/>
  <c r="R143" i="2" s="1"/>
  <c r="AE144" i="2"/>
  <c r="Z108" i="2"/>
  <c r="AF108" i="2" s="1"/>
  <c r="P34" i="9" l="1"/>
  <c r="O36" i="9"/>
  <c r="J36" i="9"/>
  <c r="G8" i="7"/>
  <c r="I8" i="7" s="1"/>
  <c r="G17" i="7"/>
  <c r="I17" i="7" s="1"/>
  <c r="G22" i="7"/>
  <c r="I22" i="7" s="1"/>
  <c r="H23" i="7"/>
  <c r="G23" i="7"/>
  <c r="I23" i="7" s="1"/>
  <c r="G20" i="7"/>
  <c r="G16" i="7"/>
  <c r="I16" i="7" s="1"/>
  <c r="G13" i="7"/>
  <c r="I13" i="7" s="1"/>
  <c r="G9" i="7"/>
  <c r="I9" i="7" s="1"/>
  <c r="J23" i="7"/>
  <c r="G21" i="7"/>
  <c r="I21" i="7" s="1"/>
  <c r="G18" i="7"/>
  <c r="I18" i="7" s="1"/>
  <c r="G11" i="7"/>
  <c r="I11" i="7" s="1"/>
  <c r="G14" i="7"/>
  <c r="G15" i="7"/>
  <c r="I15" i="7" s="1"/>
  <c r="F26" i="7"/>
  <c r="G19" i="7"/>
  <c r="I19" i="7" s="1"/>
  <c r="G10" i="7"/>
  <c r="I10" i="7" s="1"/>
  <c r="AG38" i="2"/>
  <c r="E108" i="2"/>
  <c r="R51" i="2"/>
  <c r="AD51" i="2" s="1"/>
  <c r="U112" i="2"/>
  <c r="U114" i="2" s="1"/>
  <c r="H128" i="2"/>
  <c r="U128" i="2" s="1"/>
  <c r="AG128" i="2" s="1"/>
  <c r="H114" i="2"/>
  <c r="X142" i="2"/>
  <c r="AD142" i="2" s="1"/>
  <c r="I142" i="2"/>
  <c r="V142" i="2" s="1"/>
  <c r="AD143" i="2"/>
  <c r="AI143" i="2" s="1"/>
  <c r="N128" i="2"/>
  <c r="Z128" i="2" s="1"/>
  <c r="AF128" i="2" s="1"/>
  <c r="Z112" i="2"/>
  <c r="Z114" i="2" s="1"/>
  <c r="N114" i="2"/>
  <c r="X108" i="2"/>
  <c r="L109" i="2"/>
  <c r="X109" i="2" s="1"/>
  <c r="AE128" i="2"/>
  <c r="E112" i="2"/>
  <c r="R38" i="2"/>
  <c r="AD38" i="2" s="1"/>
  <c r="E39" i="2"/>
  <c r="Q112" i="2"/>
  <c r="Q114" i="2" s="1"/>
  <c r="D128" i="2"/>
  <c r="Q128" i="2" s="1"/>
  <c r="AC128" i="2" s="1"/>
  <c r="D114" i="2"/>
  <c r="AD31" i="2"/>
  <c r="X40" i="2"/>
  <c r="X41" i="2" s="1"/>
  <c r="D143" i="2"/>
  <c r="Q144" i="2"/>
  <c r="AC144" i="2" s="1"/>
  <c r="B144" i="2"/>
  <c r="P144" i="2" s="1"/>
  <c r="AB144" i="2" s="1"/>
  <c r="L128" i="2"/>
  <c r="X128" i="2" s="1"/>
  <c r="L114" i="2"/>
  <c r="X112" i="2"/>
  <c r="X114" i="2" s="1"/>
  <c r="I143" i="2"/>
  <c r="V143" i="2" s="1"/>
  <c r="W143" i="2"/>
  <c r="AI38" i="2"/>
  <c r="AJ38" i="2" s="1"/>
  <c r="AK38" i="2"/>
  <c r="AB38" i="2"/>
  <c r="P36" i="9" l="1"/>
  <c r="AC143" i="2"/>
  <c r="Q143" i="2"/>
  <c r="B143" i="2"/>
  <c r="P143" i="2" s="1"/>
  <c r="E128" i="2"/>
  <c r="R128" i="2" s="1"/>
  <c r="AD128" i="2" s="1"/>
  <c r="E114" i="2"/>
  <c r="R112" i="2"/>
  <c r="R114" i="2" s="1"/>
  <c r="AB143" i="2"/>
  <c r="AB142" i="2"/>
  <c r="V150" i="2"/>
  <c r="R108" i="2"/>
  <c r="AD108" i="2" s="1"/>
  <c r="E109" i="2"/>
  <c r="R109" i="2" s="1"/>
  <c r="H42" i="3" l="1"/>
  <c r="J42" i="3" s="1"/>
  <c r="G42" i="3"/>
  <c r="F42" i="3"/>
  <c r="E42" i="3"/>
  <c r="I42" i="3" s="1"/>
  <c r="C42" i="3"/>
  <c r="J41" i="3"/>
  <c r="I41" i="3"/>
  <c r="D41" i="3"/>
  <c r="J40" i="3"/>
  <c r="I40" i="3"/>
  <c r="D40" i="3"/>
  <c r="J39" i="3"/>
  <c r="I39" i="3"/>
  <c r="D39" i="3"/>
  <c r="J38" i="3"/>
  <c r="I38" i="3"/>
  <c r="D38" i="3"/>
  <c r="J37" i="3"/>
  <c r="I37" i="3"/>
  <c r="D37" i="3"/>
  <c r="J36" i="3"/>
  <c r="I36" i="3"/>
  <c r="D36" i="3"/>
  <c r="J35" i="3"/>
  <c r="I35" i="3"/>
  <c r="D35" i="3"/>
  <c r="J34" i="3"/>
  <c r="I34" i="3"/>
  <c r="D34" i="3"/>
  <c r="J33" i="3"/>
  <c r="I33" i="3"/>
  <c r="D33" i="3"/>
  <c r="J32" i="3"/>
  <c r="I32" i="3"/>
  <c r="D32" i="3"/>
  <c r="J31" i="3"/>
  <c r="I31" i="3"/>
  <c r="D31" i="3"/>
  <c r="J30" i="3"/>
  <c r="I30" i="3"/>
  <c r="D30" i="3"/>
  <c r="J29" i="3"/>
  <c r="I29" i="3"/>
  <c r="D29" i="3"/>
  <c r="J28" i="3"/>
  <c r="I28" i="3"/>
  <c r="D28" i="3"/>
  <c r="J27" i="3"/>
  <c r="I27" i="3"/>
  <c r="D27" i="3"/>
  <c r="J26" i="3"/>
  <c r="I26" i="3"/>
  <c r="D26" i="3"/>
  <c r="J25" i="3"/>
  <c r="I25" i="3"/>
  <c r="D25" i="3"/>
  <c r="J24" i="3"/>
  <c r="I24" i="3"/>
  <c r="D24" i="3"/>
  <c r="J23" i="3"/>
  <c r="I23" i="3"/>
  <c r="D23" i="3"/>
  <c r="J22" i="3"/>
  <c r="I22" i="3"/>
  <c r="D22" i="3"/>
  <c r="J21" i="3"/>
  <c r="I21" i="3"/>
  <c r="D21" i="3"/>
  <c r="J20" i="3"/>
  <c r="I20" i="3"/>
  <c r="D20" i="3"/>
  <c r="J19" i="3"/>
  <c r="I19" i="3"/>
  <c r="D19" i="3"/>
  <c r="J18" i="3"/>
  <c r="I18" i="3"/>
  <c r="D18" i="3"/>
  <c r="D17" i="3"/>
  <c r="J16" i="3"/>
  <c r="I16" i="3"/>
  <c r="D16" i="3"/>
  <c r="J15" i="3"/>
  <c r="I15" i="3"/>
  <c r="D15" i="3"/>
  <c r="J14" i="3"/>
  <c r="I14" i="3"/>
  <c r="D14" i="3"/>
  <c r="D13" i="3"/>
  <c r="J12" i="3"/>
  <c r="I12" i="3"/>
  <c r="D12" i="3"/>
  <c r="J11" i="3"/>
  <c r="I11" i="3"/>
  <c r="D11" i="3"/>
  <c r="J10" i="3"/>
  <c r="I10" i="3"/>
  <c r="D10" i="3"/>
  <c r="J9" i="3"/>
  <c r="I9" i="3"/>
  <c r="D9" i="3"/>
  <c r="J8" i="3"/>
  <c r="I8" i="3"/>
  <c r="D8" i="3"/>
  <c r="J7" i="3"/>
  <c r="I7" i="3"/>
  <c r="D7" i="3"/>
  <c r="D42" i="3" s="1"/>
  <c r="O31" i="1" l="1"/>
  <c r="N31" i="1"/>
  <c r="M31" i="1"/>
  <c r="J31" i="1"/>
  <c r="K31" i="1" s="1"/>
  <c r="I31" i="1"/>
  <c r="H31" i="1"/>
  <c r="D31" i="1"/>
  <c r="P30" i="1"/>
  <c r="K30" i="1"/>
  <c r="P29" i="1"/>
  <c r="K29" i="1"/>
  <c r="P28" i="1"/>
  <c r="K28" i="1"/>
  <c r="P27" i="1"/>
  <c r="K27" i="1"/>
  <c r="P26" i="1"/>
  <c r="K26" i="1"/>
  <c r="P25" i="1"/>
  <c r="K25" i="1"/>
  <c r="P24" i="1"/>
  <c r="K24" i="1"/>
  <c r="P23" i="1"/>
  <c r="K23" i="1"/>
  <c r="P22" i="1"/>
  <c r="K22" i="1"/>
  <c r="P21" i="1"/>
  <c r="K21" i="1"/>
  <c r="P20" i="1"/>
  <c r="K20" i="1"/>
  <c r="P19" i="1"/>
  <c r="K19" i="1"/>
  <c r="P18" i="1"/>
  <c r="K18" i="1"/>
  <c r="P17" i="1"/>
  <c r="K17" i="1"/>
  <c r="P16" i="1"/>
  <c r="K16" i="1"/>
  <c r="P15" i="1"/>
  <c r="K15" i="1"/>
  <c r="P14" i="1"/>
  <c r="K14" i="1"/>
  <c r="P13" i="1"/>
  <c r="K13" i="1"/>
  <c r="E13" i="1"/>
  <c r="F13" i="1" s="1"/>
  <c r="C13" i="1"/>
  <c r="P12" i="1"/>
  <c r="K12" i="1"/>
  <c r="E12" i="1"/>
  <c r="F12" i="1" s="1"/>
  <c r="C12" i="1"/>
  <c r="P11" i="1"/>
  <c r="K11" i="1"/>
  <c r="E11" i="1"/>
  <c r="F11" i="1" s="1"/>
  <c r="C11" i="1"/>
  <c r="P10" i="1"/>
  <c r="K10" i="1"/>
  <c r="F10" i="1"/>
  <c r="E10" i="1"/>
  <c r="C10" i="1"/>
  <c r="P9" i="1"/>
  <c r="K9" i="1"/>
  <c r="E9" i="1"/>
  <c r="C9" i="1"/>
  <c r="F9" i="1" l="1"/>
  <c r="C31" i="1"/>
  <c r="P31" i="1"/>
  <c r="E31" i="1"/>
  <c r="F31" i="1" s="1"/>
</calcChain>
</file>

<file path=xl/sharedStrings.xml><?xml version="1.0" encoding="utf-8"?>
<sst xmlns="http://schemas.openxmlformats.org/spreadsheetml/2006/main" count="1049" uniqueCount="508">
  <si>
    <t>млн.руб.</t>
  </si>
  <si>
    <t>№ п/п</t>
  </si>
  <si>
    <t>2013 года</t>
  </si>
  <si>
    <t>Значение интегрального (итогового) показателя оценки эффективности по ГП АО (%)</t>
  </si>
  <si>
    <t>Уточненная бюджетная роспись по состоянию на 31.12.2013</t>
  </si>
  <si>
    <t>Доведено финансирование на 31.12.2013</t>
  </si>
  <si>
    <t>исполнено на 31.12.2013</t>
  </si>
  <si>
    <t>% исполнения к бюджетной росписи</t>
  </si>
  <si>
    <t>Уточненная бюджетная роспись по состоянию на 31.12.2014</t>
  </si>
  <si>
    <t>Доведено финансирование на 31.12.2014</t>
  </si>
  <si>
    <t>Доведено финансирование на 31.12.2015</t>
  </si>
  <si>
    <t>Развитие здравоохранения Архангельской области на 2013 – 2020 годы</t>
  </si>
  <si>
    <t>Развитие образования и науки Архангельской области (2013 – 2018 годы)</t>
  </si>
  <si>
    <t>Социальная поддержка граждан в Архангельской области (2013 – 2018 годы)</t>
  </si>
  <si>
    <t>Культура Русского Севера (2013 – 2020 годы)</t>
  </si>
  <si>
    <t>Развития сельского хозяйства  и регулирования рынков сельскохозяйственной продукции, сырья и продовольствия Архангельской области на 2013 – 2016 годы</t>
  </si>
  <si>
    <t>Обеспечение качественным, доступным жильем и объектами инженерной инфраструктуры населения Архангельской области (2014 – 2020 годы)</t>
  </si>
  <si>
    <t>Содействие занятости населения Архангельской области, улучшение условий и охраны труда (2014 – 2020 годы)</t>
  </si>
  <si>
    <t>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2018 годы)</t>
  </si>
  <si>
    <t>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– 2017 годы)</t>
  </si>
  <si>
    <t>Охрана окружающей среды, воспроизводство и использование природных ресурсов Архангельской области (2014 – 2020 годы)</t>
  </si>
  <si>
    <t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</t>
  </si>
  <si>
    <t>Экономическое развитие и инвестиционная деятельность в Архангельской области (2014 – 2020 годы)</t>
  </si>
  <si>
    <t>Развитие торговли в Архангельской области (2014 – 2020 годы)</t>
  </si>
  <si>
    <t>Развитие лесного комплекса Архангельской области (2014 – 2020 годы)</t>
  </si>
  <si>
    <t>Развитие энергетики, связи и жилищно-коммунального хозяйства Архангельской области (2014-2020 годы),</t>
  </si>
  <si>
    <t>Развитие местного самоуправления в Архангельской области и государственная поддержка социально ориентированных некоммерческих организаций (2014 – 2020 годы)</t>
  </si>
  <si>
    <t>Развитие транспортной системы Архангельской области (2014 – 2020 годы)</t>
  </si>
  <si>
    <t>Развитие инфраструктуры Соловецкого архипелага (2014 – 2019 годы)</t>
  </si>
  <si>
    <t>Развитие имущественно-земельных отношений Архангельской области (2014 – 2018 годы)</t>
  </si>
  <si>
    <t>Управление государственными финансами и государственным долгом Архангельской области (2014 – 2016 годы)</t>
  </si>
  <si>
    <t>Эффективное государственное управление в Архангельской области (2014 – 2018 годы)</t>
  </si>
  <si>
    <t>Устойчивое развитие сельских территорий Архангельской области (2014 – 2017 годы)</t>
  </si>
  <si>
    <t>ИТОГО по государственным программам Архангельской области</t>
  </si>
  <si>
    <t>х</t>
  </si>
  <si>
    <t>2014 год</t>
  </si>
  <si>
    <t>2015 год</t>
  </si>
  <si>
    <t>Наименование ГП АО</t>
  </si>
  <si>
    <t>% исполнения к сводной бюджетной росписи</t>
  </si>
  <si>
    <t>Результаты реализации государственных программ Архангельской области в 2014 -2015 годах</t>
  </si>
  <si>
    <t>Уточненная бюджетная роспись по состоянию на 31.12.2015</t>
  </si>
  <si>
    <t>А</t>
  </si>
  <si>
    <t>Налог на прибыль организаций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</si>
  <si>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</si>
  <si>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</si>
  <si>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</si>
  <si>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</si>
  <si>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Административные платежи и сборы</t>
  </si>
  <si>
    <t>Прочие неналоговые доходы</t>
  </si>
  <si>
    <t>Сведения об исполнении консолидированного бюджета Архангельской области 2015 год, согласно отчету, представленному в Минфин России по ф. 0503317</t>
  </si>
  <si>
    <t>Показатели</t>
  </si>
  <si>
    <t>Утверждено по отчету на 2015 год (руб.)</t>
  </si>
  <si>
    <t>Исполнено за 2015 год (руб.)</t>
  </si>
  <si>
    <t>Утверждено по отчету на 2015 год (млн.руб.)</t>
  </si>
  <si>
    <t>Исполнено 2015 год (млн.руб.)</t>
  </si>
  <si>
    <t>Процент выполнения (%)</t>
  </si>
  <si>
    <t>Консоли-дирован-ный бюджет области</t>
  </si>
  <si>
    <t>в том числе бюджеты:</t>
  </si>
  <si>
    <t>из них бюджеты:</t>
  </si>
  <si>
    <t>суммы подлежащие исключению</t>
  </si>
  <si>
    <t>област-ной</t>
  </si>
  <si>
    <t>консоли-дирован-ные бюджеты МО</t>
  </si>
  <si>
    <t>в т.ч.:</t>
  </si>
  <si>
    <t>город-ские</t>
  </si>
  <si>
    <t>район-ные</t>
  </si>
  <si>
    <t>поселе-ний</t>
  </si>
  <si>
    <t>посе-лений</t>
  </si>
  <si>
    <t>1</t>
  </si>
  <si>
    <t>2</t>
  </si>
  <si>
    <t>3</t>
  </si>
  <si>
    <t>7</t>
  </si>
  <si>
    <t>8</t>
  </si>
  <si>
    <t>9</t>
  </si>
  <si>
    <t>13=7/1*100</t>
  </si>
  <si>
    <t>14=8/2*100</t>
  </si>
  <si>
    <t>15=9/3*100</t>
  </si>
  <si>
    <t>16=10/4*100</t>
  </si>
  <si>
    <t>17=11/5*100</t>
  </si>
  <si>
    <t>18=12/6*100</t>
  </si>
  <si>
    <t>ДОХОДЫ (по форме 0503317)</t>
  </si>
  <si>
    <t>Доходы бюджета - ИТОГО - спрятать</t>
  </si>
  <si>
    <t>Налоговые и неналоговые доходы, из них:</t>
  </si>
  <si>
    <t>-</t>
  </si>
  <si>
    <t>Налог на доходы физических лиц</t>
  </si>
  <si>
    <t>Акцизы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</si>
  <si>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</si>
  <si>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</t>
  </si>
  <si>
    <t>Платежи за пользование природными ресурсами</t>
  </si>
  <si>
    <t>Доходы от оказания платных услуг (работ) и компенсации затрат государства</t>
  </si>
  <si>
    <t>Доходы от продажи активов</t>
  </si>
  <si>
    <t>Штрафные санкции</t>
  </si>
  <si>
    <t xml:space="preserve"> - из них: невыясненные поступления</t>
  </si>
  <si>
    <t>Поступления (перечисления) по урегулированию расчетов между бюджетами</t>
  </si>
  <si>
    <t>Безвозмездные поступления, в т.ч.:</t>
  </si>
  <si>
    <t>1. От нерезидентов</t>
  </si>
  <si>
    <t>1. От других бюджетов</t>
  </si>
  <si>
    <t>2. Безвозмездные поступления от государственных (муниципальных) организаций</t>
  </si>
  <si>
    <t>3. Безвозмездные поступления от негосударственных  организаций</t>
  </si>
  <si>
    <t>4. Прочие безвозмездные поступления</t>
  </si>
  <si>
    <t>5. 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</si>
  <si>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7. Возврат целевых остатков прошлых лет</t>
  </si>
  <si>
    <t>ВСЕГО ДОХОДЫ</t>
  </si>
  <si>
    <t>Контроль - спрятать</t>
  </si>
  <si>
    <t>Итого безвозмездные</t>
  </si>
  <si>
    <t>Отклонение</t>
  </si>
  <si>
    <t>Отклонения в доходах получено поселениями от районов и в расходах - отдано в районах межбюджетных</t>
  </si>
  <si>
    <t>посе-ле-ний</t>
  </si>
  <si>
    <t>РАСХОДЫ (по форме 0503317)</t>
  </si>
  <si>
    <r>
      <t xml:space="preserve">Расходы - </t>
    </r>
    <r>
      <rPr>
        <b/>
        <sz val="10"/>
        <color indexed="10"/>
        <rFont val="Arial"/>
        <family val="2"/>
        <charset val="204"/>
      </rPr>
      <t>спрятать</t>
    </r>
  </si>
  <si>
    <t>Общегосударственные вопросы (01)</t>
  </si>
  <si>
    <t>в т.ч. межбюджетные трансферты</t>
  </si>
  <si>
    <t>Национальная оборона (02)</t>
  </si>
  <si>
    <t>Национальная безопасность и правоохранительная деятельность (03)</t>
  </si>
  <si>
    <t>Национальная экономика (04), из них:</t>
  </si>
  <si>
    <t xml:space="preserve"> - общеэкономические вопросы (0401)</t>
  </si>
  <si>
    <t xml:space="preserve"> - топливно-энергетический комплекс (0402)</t>
  </si>
  <si>
    <t xml:space="preserve">   в т.ч межбюджетные трансферты</t>
  </si>
  <si>
    <t xml:space="preserve"> - сельское хозяйство и рыболовство (0405)</t>
  </si>
  <si>
    <t xml:space="preserve"> - водное хозяйство (0406)</t>
  </si>
  <si>
    <t xml:space="preserve"> - лесное хозяйство (0407)</t>
  </si>
  <si>
    <t xml:space="preserve"> - транспорт (0408)</t>
  </si>
  <si>
    <t xml:space="preserve"> - дорожное хозяйство, фонды (0409)</t>
  </si>
  <si>
    <t xml:space="preserve"> - связь и информатика (0410)</t>
  </si>
  <si>
    <t xml:space="preserve"> - другие вопросы в области национальной экономики (0412)</t>
  </si>
  <si>
    <t>Жилищно-коммунальное хозяйство (05), из них:</t>
  </si>
  <si>
    <t xml:space="preserve"> - жилищное хозяйство (0501)</t>
  </si>
  <si>
    <t xml:space="preserve"> - коммунальное хозяйство (0502)</t>
  </si>
  <si>
    <t xml:space="preserve"> - благоустройство (0503)</t>
  </si>
  <si>
    <t xml:space="preserve"> - другие вопросы в области жилищно-коммунального хозяйства (0505)</t>
  </si>
  <si>
    <t>Охрана окружающей среды (06)</t>
  </si>
  <si>
    <t>Образование (07)</t>
  </si>
  <si>
    <t>Культура, кинематография (08)</t>
  </si>
  <si>
    <t>Здравоохранение (09), из них:</t>
  </si>
  <si>
    <t xml:space="preserve"> - стационарная медицинская помощь (0901)</t>
  </si>
  <si>
    <t xml:space="preserve"> - амбулаторная помощь (0902)</t>
  </si>
  <si>
    <t xml:space="preserve"> - другие вопросы в области здравоохранения (0909)</t>
  </si>
  <si>
    <t>Социальная политика (1000)</t>
  </si>
  <si>
    <t>Физическая культура и спорт (1100)</t>
  </si>
  <si>
    <t>Средства массовой информации (1200)</t>
  </si>
  <si>
    <t>Обслуживание гос. и муниципального долга (1300)</t>
  </si>
  <si>
    <t>Межбюджетные трансферты общего характера (1400)</t>
  </si>
  <si>
    <t xml:space="preserve"> -  дотации на выравнивание бюджетной обеспеченности</t>
  </si>
  <si>
    <t xml:space="preserve"> - иные дотации</t>
  </si>
  <si>
    <t xml:space="preserve"> - прочие межбюджетные трансферты общего характера</t>
  </si>
  <si>
    <t>ВСЕГО РАСХОДЫ</t>
  </si>
  <si>
    <t>контроль - спрятать</t>
  </si>
  <si>
    <t>контроль межбюджетных - спрятать</t>
  </si>
  <si>
    <t>РЕЗУЛЬТАТ ИСПОЛНЕНИЯ БЮДЖЕТОВ:                   дефицит (-),  профицит (+)</t>
  </si>
  <si>
    <t>результат по отчету - спрятать</t>
  </si>
  <si>
    <t>Контроль результата - спрятать</t>
  </si>
  <si>
    <t>Источники финансирования дефицита бюджетов (по форме 0503317), в т.ч.:</t>
  </si>
  <si>
    <t>Кредиты кредитных организаций (оборот)</t>
  </si>
  <si>
    <t>Бюджетные кредиты (оборот)</t>
  </si>
  <si>
    <t>Средства от продажи акций и иных форм участия в капитале</t>
  </si>
  <si>
    <t>Исполнение государственных и муниципальных гарантий</t>
  </si>
  <si>
    <t>Возврат бюджетных кредитов</t>
  </si>
  <si>
    <t>Операции по управлению остатками средств на единых счетах бюджетов (оборот)</t>
  </si>
  <si>
    <t>Изменение остатков средств бюджетов (оборот)</t>
  </si>
  <si>
    <t>СПРАВОЧНО:</t>
  </si>
  <si>
    <t>Показатели на 01.01.2015 год (руб.)</t>
  </si>
  <si>
    <t>Показатели на 01.01.2016 год (руб.)</t>
  </si>
  <si>
    <t>Показатели на 01.01.2015 года (млн.руб.)</t>
  </si>
  <si>
    <t>Показатели на 01.01.2016 года (млн.руб.)</t>
  </si>
  <si>
    <t>Изменение (+/-), млн.руб.</t>
  </si>
  <si>
    <t>Остатки на счетах бюджета (сч. 202.10 ф. 0503320), из них:</t>
  </si>
  <si>
    <t xml:space="preserve">  целевые (ф. 0503387), в т.ч.:</t>
  </si>
  <si>
    <t xml:space="preserve">         - федерального бюджета</t>
  </si>
  <si>
    <t xml:space="preserve">         - областного бюджета</t>
  </si>
  <si>
    <t>Внутренний долг, в т.ч.:</t>
  </si>
  <si>
    <t xml:space="preserve"> - по бюджетным кредитам</t>
  </si>
  <si>
    <t xml:space="preserve"> - в т.ч. по бюджетным кредитам - спрятать</t>
  </si>
  <si>
    <t xml:space="preserve"> - и по бюджетным ссудам - спрятать</t>
  </si>
  <si>
    <t xml:space="preserve"> - по кредитам кредитных организаций</t>
  </si>
  <si>
    <t xml:space="preserve"> - по выданным гарантиям</t>
  </si>
  <si>
    <t>Сведения об исполнении областного бюджета за 2015 год в разрезе главных распорядителей средств областного бюджета</t>
  </si>
  <si>
    <t>в тыс.руб.</t>
  </si>
  <si>
    <t>Наименование</t>
  </si>
  <si>
    <t>Гла-ва</t>
  </si>
  <si>
    <t>Утверждено областным законом о бюджете на год</t>
  </si>
  <si>
    <t>Сводная бюджетная роспись, по состоянию на 31.12.2015</t>
  </si>
  <si>
    <t>Доведены ПОФ на 31.12.2015</t>
  </si>
  <si>
    <t>Исполнено за год</t>
  </si>
  <si>
    <t>% выполнения</t>
  </si>
  <si>
    <t>от 16.12.2014 № 220-13-ОЗ</t>
  </si>
  <si>
    <t>Изменения, внесенные  за год</t>
  </si>
  <si>
    <t>в ред. от 18.12.2015 № 385-22-ОЗ</t>
  </si>
  <si>
    <t xml:space="preserve">к закону </t>
  </si>
  <si>
    <t>к СБР</t>
  </si>
  <si>
    <t>Министерство строительства и архитектуры Архангельской области</t>
  </si>
  <si>
    <t>Министерство топливно-энергетического комплекса и жилищно-коммунального хозяйства Архангельской области</t>
  </si>
  <si>
    <t>Министерство природных ресурсов и лесопромышленного комплекса Архангельской области</t>
  </si>
  <si>
    <t>Министерство здравоохранения Архангельской области</t>
  </si>
  <si>
    <t>Министерство культуры Архангельской области</t>
  </si>
  <si>
    <t>Министерство образования и науки Архангельской области</t>
  </si>
  <si>
    <t>Агентство по рыбному хозяйству Архангельской области</t>
  </si>
  <si>
    <t>Министерство агропромышленного комплекса и торговли Архангельской области</t>
  </si>
  <si>
    <t>Министерство финансов Архангельской области</t>
  </si>
  <si>
    <t>Министерство транспорта Архангельской области</t>
  </si>
  <si>
    <t>Агентство архитектуры и градостроительства Архангельской области</t>
  </si>
  <si>
    <t>Министерство экономического развития  Архангельской области</t>
  </si>
  <si>
    <t>Агентство по делам архивов Архангельской области</t>
  </si>
  <si>
    <t>Министерство труда, занятости и социального развития Архангельской области</t>
  </si>
  <si>
    <t>Министерство имущественных отношений Архангельской области</t>
  </si>
  <si>
    <t>Агентство по туризму и международному сотрудничеству Архангельской области</t>
  </si>
  <si>
    <t>Агентство государственной противопожарной службы и гражданской защиты Архангельской области</t>
  </si>
  <si>
    <t>Министерство по делам молодежи и спорту Архангельской области</t>
  </si>
  <si>
    <t>Уполномоченный по правам человека в Архангельской области</t>
  </si>
  <si>
    <t>Администрация губернатора Архангельской области и правительства Архангельской области</t>
  </si>
  <si>
    <t>Контрольно-счетная палата Архангельской области</t>
  </si>
  <si>
    <t>Агентство по тарифам и ценам Архангельской области</t>
  </si>
  <si>
    <t>Избирательная комиссия Архангельской области</t>
  </si>
  <si>
    <t>Министерство по местному самоуправлению и внутренней политике Архангельской области</t>
  </si>
  <si>
    <t>Архангельское областное собрание депутатов</t>
  </si>
  <si>
    <t>Агентство записи актов гражданского состояния Архангельской области</t>
  </si>
  <si>
    <t>Государственная жилищная инспекция Архангельской области</t>
  </si>
  <si>
    <t>Агентство по печати и средствам массовой информации Архангельской области</t>
  </si>
  <si>
    <t>Агентство по организационному обеспечению деятельности мировых судей Архангельской области</t>
  </si>
  <si>
    <t>Контрольно-ревизионная инспекция Архангельской области</t>
  </si>
  <si>
    <t>Государственная инспекция по надзору за техническим состоянием самоходных машин и других видов техники Архангельской области</t>
  </si>
  <si>
    <t>Инспекция государственного строительного надзора Архангельской области</t>
  </si>
  <si>
    <t>Контрактное агентство Архангельской области</t>
  </si>
  <si>
    <t>Инспекция по ветеринарному надзору Архангельской области</t>
  </si>
  <si>
    <t>Итого</t>
  </si>
  <si>
    <t>Информация о недостигнутых в 2015 году утвержденных значений целевых показателей государственной программы Архангельской области «Развитие здравоохранения Архангельской области на 2013-2018 годы»</t>
  </si>
  <si>
    <t>Наименование показателя</t>
  </si>
  <si>
    <t>Ед.изм.</t>
  </si>
  <si>
    <t>Значение целевого показателя</t>
  </si>
  <si>
    <t>Отклонение (+ выше, - ниже)</t>
  </si>
  <si>
    <t>Обоснование отклонений минздравом АО</t>
  </si>
  <si>
    <t>план</t>
  </si>
  <si>
    <t>факт</t>
  </si>
  <si>
    <t>ед.</t>
  </si>
  <si>
    <t>%</t>
  </si>
  <si>
    <t>В целом по госпрограмме</t>
  </si>
  <si>
    <t xml:space="preserve">Смертность от всех причин                    </t>
  </si>
  <si>
    <t xml:space="preserve">на 1 тыс. населения         </t>
  </si>
  <si>
    <t xml:space="preserve">Смертность от болезней системы кровообращения        </t>
  </si>
  <si>
    <t>на 100 тыс. населения</t>
  </si>
  <si>
    <t> см.выше. Среди умерших 82,1% лица старше трудоспособного возраста, 52% от умерших лица старше 75 лет.</t>
  </si>
  <si>
    <t>Смертность от новообразований (в том числе от злокачественных)</t>
  </si>
  <si>
    <t xml:space="preserve">Обеспеченность врачами     </t>
  </si>
  <si>
    <t>на 10 тыс. населения</t>
  </si>
  <si>
    <t> Изменение подхода к расчету показателя (исключены федеральные организации)</t>
  </si>
  <si>
    <t xml:space="preserve">Ожидаемая продолжительность жизни при рождении          </t>
  </si>
  <si>
    <t xml:space="preserve">лет             </t>
  </si>
  <si>
    <t>Подпрограмма № 1 «Профилактика заболеваний и формирование здорового образа жизни, развитие первичной медико-санитарной помощи»</t>
  </si>
  <si>
    <t xml:space="preserve">Охват профилактическими медицинскими осмотрами детей             </t>
  </si>
  <si>
    <t> Кадровый дефицит</t>
  </si>
  <si>
    <t>Распространенность низкой физической активности среди взрослого населения</t>
  </si>
  <si>
    <t>Распространенность недостаточного потребления фруктов и овощей среди взрослого населения</t>
  </si>
  <si>
    <t>Доля больных с выявленными злокачественными новообразованиями на I-II стадиях</t>
  </si>
  <si>
    <t> Позднее обращение граждан</t>
  </si>
  <si>
    <t xml:space="preserve">Доля больных алкоголизмом, повторно госпитализированных в течение года                  </t>
  </si>
  <si>
    <t>Подпрограмма № 2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</si>
  <si>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Ожидаемая продолжительность жизни ВИЧ-инфицированных лиц, получающих антиретровирусную терапию в соответствии с действующими стандартами         </t>
  </si>
  <si>
    <t xml:space="preserve">Доля больных психическими расстройствами, повторно госпитализированных в течение года </t>
  </si>
  <si>
    <t> Низкая приверженность пациентов к регулярному приему препаратов</t>
  </si>
  <si>
    <t xml:space="preserve">Смертность от ишемической болезни сердца               </t>
  </si>
  <si>
    <t>Подпрограмма № 3 «Развитие государственно-частного партнерства»</t>
  </si>
  <si>
    <t xml:space="preserve">Число исследований, проведенных с использованием технологий ядерной медицины в рамках государственно-частного партнерства                                             </t>
  </si>
  <si>
    <t xml:space="preserve">единиц          </t>
  </si>
  <si>
    <t> Реализация проекта приостановлена со стороны ООО «ПЭТ-Технолоджи»</t>
  </si>
  <si>
    <t>Подпрограмма № 4 «Охрана здоровья матери и ребенка»</t>
  </si>
  <si>
    <t>Охват неонатальным скринингом (количество новорожденных, обследованных на наследственные заболевания от общего числа новорожденных)</t>
  </si>
  <si>
    <t xml:space="preserve">Доля женщин с преждевременными родами, родоразрешенных в перинатальных центрах (женщины с преждевременными родами, которые были родоразрешены в перинатальных центрах) </t>
  </si>
  <si>
    <t>Отсутствие перинатального центра</t>
  </si>
  <si>
    <t>Больничная летальность детей (количество умерших детей от числа поступивших)</t>
  </si>
  <si>
    <t xml:space="preserve">Охват пар "мать - дитя" химиопрофилактикой в соответствии с действующими стандартами        </t>
  </si>
  <si>
    <t>Отказ от медицинского вмешательства</t>
  </si>
  <si>
    <t>Подпрограмма № 5 «Развитие медицинской реабилитации и санаторно-курортного лечения, в том числе детей»</t>
  </si>
  <si>
    <t xml:space="preserve">Охват санаторно-курортным лечением пациентов                        </t>
  </si>
  <si>
    <t>Подпрограмма № 7 «Кадровое обеспечение системы здравоохранения»</t>
  </si>
  <si>
    <t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организациях дополнительного образования</t>
  </si>
  <si>
    <t xml:space="preserve">чел.            </t>
  </si>
  <si>
    <t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</t>
  </si>
  <si>
    <t xml:space="preserve">Количество обучающихся, прошедших подготовку в обучающих симуляционных центрах             </t>
  </si>
  <si>
    <t>Обеспеченность средним медицинским персоналом сельского населения</t>
  </si>
  <si>
    <t xml:space="preserve">на 10 тыс.  сельского населения    </t>
  </si>
  <si>
    <t>Укомплектованность штатных должностей медицинских организаций, оказывающих населению амбулаторную помощь (самостоятельных и входящих в состав больничных) врачами (физическими лицами), при коэффициенте совместительства не более 1,3</t>
  </si>
  <si>
    <t>Укомплектованность штатных должностей медицинских организаций, оказывающих населению амбулаторную помощь (самостоятельных и входящих в состав больничных) сестринским персоналом (физическими лицами), при коэффициенте совместительства не более 1,5</t>
  </si>
  <si>
    <t xml:space="preserve">Укомплектованность штатных должностей медицинских организаций врачами (физическими лицами), оказывающими первичную медико-санитарную помощь </t>
  </si>
  <si>
    <t> Снижение коэффициента совместительства</t>
  </si>
  <si>
    <t>Темп прироста численности врачей по особо востребованным в регионе специальностям:</t>
  </si>
  <si>
    <t xml:space="preserve">терапевты               </t>
  </si>
  <si>
    <t xml:space="preserve">педиатры                </t>
  </si>
  <si>
    <t xml:space="preserve">Темп прироста численности среднего медицинского персонала по особо востребованным в регионе специальностям    </t>
  </si>
  <si>
    <t>Дефицит врачей в медицинских организациях Архангельской области, в том числе:</t>
  </si>
  <si>
    <t xml:space="preserve">           </t>
  </si>
  <si>
    <t xml:space="preserve">в медицинских организациях, оказывающих населению амбулаторную помощь                              </t>
  </si>
  <si>
    <t xml:space="preserve">Доля муниципальных образований, оказывающих меры социальной поддержки медицинским работникам, из общего их числа                            </t>
  </si>
  <si>
    <t xml:space="preserve">Количество врачей, прошедших обучение по программам дополнительного медицинского и фармацевтического образования в государственных учреждениях высшего и дополнительного образования, в том числе </t>
  </si>
  <si>
    <t xml:space="preserve">повышение квалификации  </t>
  </si>
  <si>
    <t xml:space="preserve">профессиональная переподготовка        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</si>
  <si>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учреждениях высшего и дополнительного образования, в том числе </t>
  </si>
  <si>
    <t xml:space="preserve">в интернатуре           </t>
  </si>
  <si>
    <t xml:space="preserve">в ординатуре            </t>
  </si>
  <si>
    <t>по программам профессионального образования)</t>
  </si>
  <si>
    <t>по программам послевузовского (интернатуры и ординатуры) профессионального образования)</t>
  </si>
  <si>
    <t xml:space="preserve">Доля медицинских и фармацевтических специалистов, обучавшихся в рамках целевого обучения для нужд Архангельской области, трудоустроившихся после завершения обучения в государственные медицинские организации Архангельской области), в том числе </t>
  </si>
  <si>
    <t xml:space="preserve">средние медицинские работники     </t>
  </si>
  <si>
    <t xml:space="preserve">процентов       </t>
  </si>
  <si>
    <t xml:space="preserve">Доля врачей, имеющих квалификационную категорию, из числа работающих в медицинских организациях Архангельской области                        </t>
  </si>
  <si>
    <t xml:space="preserve">Доля средних медицинских работников, имеющих квалификационную категорию, из числа работающих в медицинских организациях Архангельской области                        </t>
  </si>
  <si>
    <t>Просроченная кредиторская задолженность (ф. 0503369)</t>
  </si>
  <si>
    <t>Консолидированные бюджеты</t>
  </si>
  <si>
    <t>Доходы</t>
  </si>
  <si>
    <t>Расходы</t>
  </si>
  <si>
    <t>Результат исполнения (дефицит "-", профицит "+")</t>
  </si>
  <si>
    <t>Остатки средств на 01.01.2016 (ф. 0503320)</t>
  </si>
  <si>
    <t>Изменение остатков за 2015 год</t>
  </si>
  <si>
    <t>Внутренний долг на 01.01.2016</t>
  </si>
  <si>
    <t>Изменение внутр. долга за 2015 год</t>
  </si>
  <si>
    <t>целевые (ф. 0503387)</t>
  </si>
  <si>
    <t>назначено на год</t>
  </si>
  <si>
    <t>исполнено</t>
  </si>
  <si>
    <t>Всего</t>
  </si>
  <si>
    <t>в т.ч. целевых</t>
  </si>
  <si>
    <t>3=2/1</t>
  </si>
  <si>
    <t>4</t>
  </si>
  <si>
    <t>5=4/3</t>
  </si>
  <si>
    <t>6</t>
  </si>
  <si>
    <t>10</t>
  </si>
  <si>
    <t>11</t>
  </si>
  <si>
    <t>12</t>
  </si>
  <si>
    <t>Вельский район</t>
  </si>
  <si>
    <t>Верхнетоемский район</t>
  </si>
  <si>
    <t>Вилегодский район</t>
  </si>
  <si>
    <t>Виноградовский район</t>
  </si>
  <si>
    <t>Каргопольский район</t>
  </si>
  <si>
    <t>Коношский район</t>
  </si>
  <si>
    <t>Котласский район</t>
  </si>
  <si>
    <t>Красноборский район</t>
  </si>
  <si>
    <t>Ленский район</t>
  </si>
  <si>
    <t>Лешуконский район</t>
  </si>
  <si>
    <t>Мезенский район</t>
  </si>
  <si>
    <t>Няндомский район</t>
  </si>
  <si>
    <t>Онежский район</t>
  </si>
  <si>
    <t>Пинежский район</t>
  </si>
  <si>
    <t>Плесецкий район</t>
  </si>
  <si>
    <t>Приморский район</t>
  </si>
  <si>
    <t>Устьянский район</t>
  </si>
  <si>
    <t>Холмогорский район</t>
  </si>
  <si>
    <t>Шенкурский район</t>
  </si>
  <si>
    <t>Город Архангельск</t>
  </si>
  <si>
    <t>Северодвинск</t>
  </si>
  <si>
    <t>Котлас</t>
  </si>
  <si>
    <t>Город Новодвинск</t>
  </si>
  <si>
    <t>Город Коряжма</t>
  </si>
  <si>
    <t>Мирный</t>
  </si>
  <si>
    <t>Новая Земля</t>
  </si>
  <si>
    <t>Итого по МО</t>
  </si>
  <si>
    <t>Выполнение доходной части консолидированного бюджета муниципальных образований Архангельской области за 2015 год, согласно отчету, представленному в Минфин России по ф. 0503317 (в тыс.руб.)</t>
  </si>
  <si>
    <t>Налоговые и неналоговые</t>
  </si>
  <si>
    <t>из них:</t>
  </si>
  <si>
    <t>налог на доходы физических лиц</t>
  </si>
  <si>
    <t>уд. вес. в составе налог. и неналог. доходов</t>
  </si>
  <si>
    <t>из областного бюджета</t>
  </si>
  <si>
    <t>уд. вес. в составе  доходов</t>
  </si>
  <si>
    <t>Назн.</t>
  </si>
  <si>
    <t>Исп.</t>
  </si>
  <si>
    <t>2/1</t>
  </si>
  <si>
    <t>4/3</t>
  </si>
  <si>
    <t>5</t>
  </si>
  <si>
    <t>6/5</t>
  </si>
  <si>
    <t>5/3</t>
  </si>
  <si>
    <t>6/4</t>
  </si>
  <si>
    <t>8/7</t>
  </si>
  <si>
    <t>10/9</t>
  </si>
  <si>
    <t>9/1</t>
  </si>
  <si>
    <t>10/2</t>
  </si>
  <si>
    <t>Исполнение расходов консолидированного бюджета Архангельской области за 2014 - 2015 годы</t>
  </si>
  <si>
    <t>Показатель</t>
  </si>
  <si>
    <t>2013 год</t>
  </si>
  <si>
    <t>Изменение (+/-)</t>
  </si>
  <si>
    <t>% к итогу</t>
  </si>
  <si>
    <t>доля в %</t>
  </si>
  <si>
    <t>пунктов</t>
  </si>
  <si>
    <t>% к 2014 году</t>
  </si>
  <si>
    <t>5=3-1</t>
  </si>
  <si>
    <t>6=4-2</t>
  </si>
  <si>
    <t>7=5/1*100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</si>
  <si>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</si>
  <si>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</si>
  <si>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</si>
  <si>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</si>
  <si>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из них - дорожное хозяйство (дорожные фонды)</t>
  </si>
  <si>
    <t>Жилищно-коммунальное хозяйство</t>
  </si>
  <si>
    <t>Охрана окружающей среды</t>
  </si>
  <si>
    <t>Образование</t>
  </si>
  <si>
    <t xml:space="preserve">Культура и кинематография 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</si>
  <si>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</si>
  <si>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</si>
  <si>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</si>
  <si>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</si>
  <si>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Обслуживание государственного и муниципального долга </t>
  </si>
  <si>
    <t>Межбюджетные трансферты общего характера</t>
  </si>
  <si>
    <t>ВСЕГО РАСХОДОВ</t>
  </si>
  <si>
    <t>Заработная плата, ф. 0503737 ГБУ и ГАО за счет всех источников</t>
  </si>
  <si>
    <t>Рост, снижение в %</t>
  </si>
  <si>
    <t>Заработная плата, ф. 0503317 - казенные учреждения</t>
  </si>
  <si>
    <t>Всего заработная плата (ф. 0503737+0503317) в тыс.руб.</t>
  </si>
  <si>
    <t>Среднемесячная заработная плата (руб.)</t>
  </si>
  <si>
    <t>3=2/1-100%</t>
  </si>
  <si>
    <t>6=5/4-100%</t>
  </si>
  <si>
    <t>Областной бюджет</t>
  </si>
  <si>
    <t>Всего область</t>
  </si>
  <si>
    <t>тыс.рублей</t>
  </si>
  <si>
    <t xml:space="preserve">Министерство строительства и архитектуры </t>
  </si>
  <si>
    <t>Министерство топливно-энергетического комплекса и жилищно-коммунального хозяйства</t>
  </si>
  <si>
    <t>Министерство природных ресурсов и лесопромышленного комплекса</t>
  </si>
  <si>
    <t>Министерство здравоохранения</t>
  </si>
  <si>
    <t>Министерство образования и науки</t>
  </si>
  <si>
    <t>Министерство агропромышленного комплекса и торговли</t>
  </si>
  <si>
    <t>Министерство транспорта</t>
  </si>
  <si>
    <t>Министерство экономического развития и конкурентной политики</t>
  </si>
  <si>
    <t>Агентство по делам архивов</t>
  </si>
  <si>
    <t>Министерство труда, занятости и социального развития</t>
  </si>
  <si>
    <t>Министерство по делам молодежи и спорту</t>
  </si>
  <si>
    <t>Администрация Губернатора и Правительства</t>
  </si>
  <si>
    <t>Министерство по местному самоуправлению и внутренней политике</t>
  </si>
  <si>
    <t>Агентство по печати и средствам массовой информации</t>
  </si>
  <si>
    <t>Контрактное агентство</t>
  </si>
  <si>
    <t>Итого по ГБУ и ГАО</t>
  </si>
  <si>
    <t>Главные распорядители</t>
  </si>
  <si>
    <t>Остатки средств</t>
  </si>
  <si>
    <t>Доходы за год</t>
  </si>
  <si>
    <t>Расходы за год</t>
  </si>
  <si>
    <t>Задолженность</t>
  </si>
  <si>
    <t>на 01.01.2015</t>
  </si>
  <si>
    <t>на 01.01.2016</t>
  </si>
  <si>
    <t>Дебиторская</t>
  </si>
  <si>
    <t>Кредиторская</t>
  </si>
  <si>
    <t>всего</t>
  </si>
  <si>
    <t>в т.ч. за счет бюдж. средств</t>
  </si>
  <si>
    <t>% вып-ия плана</t>
  </si>
  <si>
    <t>уд. вес в доходах в %</t>
  </si>
  <si>
    <t>уд. вес в расходах  в %</t>
  </si>
  <si>
    <t>Изменение за год</t>
  </si>
  <si>
    <t>изменение за год по бюдж. средствам</t>
  </si>
  <si>
    <t>11=10/7%</t>
  </si>
  <si>
    <t>16=15/12%</t>
  </si>
  <si>
    <t>Агентство государственной противопожарной службы и гражданской защиты</t>
  </si>
  <si>
    <t>Агентство по развитию Соловецкого архипелага</t>
  </si>
  <si>
    <t>Рост, снижение</t>
  </si>
  <si>
    <t>Показатели по заработной плате казенных, бюджетных и автономных учреждений, отраженные в отчетах по ф. 0503737, 0503317, а также среднегодовая штатная численность согласно Отчетам о выполнении плана по сети, штатам и контингентам за 2015 год</t>
  </si>
  <si>
    <t>Среднегодовая штатная численность, шт.ед.</t>
  </si>
  <si>
    <t>Измене-ние за год</t>
  </si>
  <si>
    <t>Исполнено на 31.12.2015</t>
  </si>
  <si>
    <t>Исполнено на 31.12.2014</t>
  </si>
  <si>
    <r>
      <t xml:space="preserve"> Рост продолжительности жизни и постарением населения, </t>
    </r>
    <r>
      <rPr>
        <sz val="10"/>
        <color theme="1"/>
        <rFont val="Arial"/>
        <family val="2"/>
        <charset val="204"/>
      </rPr>
      <t>  </t>
    </r>
    <r>
      <rPr>
        <sz val="10"/>
        <color rgb="FF000000"/>
        <rFont val="Arial"/>
        <family val="2"/>
        <charset val="204"/>
      </rPr>
      <t>снижением численности жителей за счет миграции молодых людей</t>
    </r>
  </si>
  <si>
    <t xml:space="preserve">Число лиц, направленных на целевое обучение, в том числе         </t>
  </si>
  <si>
    <t>Сведения о капитальных вложений в объекты муниципальной собственности муниципальных образований Архангельской области в 2015 году (по данным ф. 0503317)</t>
  </si>
  <si>
    <t xml:space="preserve"> Верхнетоемский район</t>
  </si>
  <si>
    <t xml:space="preserve"> Вилегодский район</t>
  </si>
  <si>
    <t xml:space="preserve"> Котласский район</t>
  </si>
  <si>
    <t xml:space="preserve"> Шенкурский район</t>
  </si>
  <si>
    <t xml:space="preserve"> Город Новодвинск</t>
  </si>
  <si>
    <t>Наименование МО</t>
  </si>
  <si>
    <t>Удельный вес кап.вложений в расходах, %</t>
  </si>
  <si>
    <t>Назначено, тыс.руб.</t>
  </si>
  <si>
    <t>Исполнено, тыс.руб.</t>
  </si>
  <si>
    <t>На душу населения, назначено, руб.</t>
  </si>
  <si>
    <t>На душу населения, исполнено, руб.</t>
  </si>
  <si>
    <t>Расходы без внутренних оборотов, тыс.руб.</t>
  </si>
  <si>
    <t>Сведения об исполнении доходной части консолидированного бюджета Архангельской области за 2014- 2015 годы</t>
  </si>
  <si>
    <t>Исполнено за 2014 год</t>
  </si>
  <si>
    <t>Исполнено за 2015 год</t>
  </si>
  <si>
    <t>Рост, снижение к 2014 г. в млн.руб.</t>
  </si>
  <si>
    <t>Рост, снижение к 2014 г. в %</t>
  </si>
  <si>
    <t>7=4-1</t>
  </si>
  <si>
    <t>8=5-2</t>
  </si>
  <si>
    <t>9=6-3</t>
  </si>
  <si>
    <t>10=4/1*100-100</t>
  </si>
  <si>
    <t>11=5/2*100-100</t>
  </si>
  <si>
    <t>12=6/3*100-100</t>
  </si>
  <si>
    <t>Налоги на имущество, из них:</t>
  </si>
  <si>
    <t xml:space="preserve">  - налог на имущество физических лиц</t>
  </si>
  <si>
    <t xml:space="preserve">  - налог на имущество организаций</t>
  </si>
  <si>
    <t xml:space="preserve">  - транспортный налог</t>
  </si>
  <si>
    <t xml:space="preserve">  - земельный налог</t>
  </si>
  <si>
    <t>Налоги, сборы и регулярные платежи за пользование природными ресурсами, из них:</t>
  </si>
  <si>
    <t xml:space="preserve">  - налог на добычу полезных ископаемых в виде природных алмазов</t>
  </si>
  <si>
    <t>Платежи за пользование природными ресурсами, из них:</t>
  </si>
  <si>
    <t xml:space="preserve">  - плата за негативное воздействие на окружающую среду</t>
  </si>
  <si>
    <t xml:space="preserve">  - платежи при пользовании недрами</t>
  </si>
  <si>
    <t xml:space="preserve">  - плата за использование лесов</t>
  </si>
  <si>
    <t xml:space="preserve">  - доходы от оказания платных услуг (работ)</t>
  </si>
  <si>
    <t xml:space="preserve">  -доходы от компенсации затрат государства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</si>
  <si>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</si>
  <si>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</si>
  <si>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</si>
  <si>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</si>
  <si>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</si>
  <si>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1.1</t>
  </si>
  <si>
    <t>Приложение № 6</t>
  </si>
  <si>
    <t>Приложение № 7</t>
  </si>
  <si>
    <t>Приложение № 8</t>
  </si>
  <si>
    <t>Приложение № 9</t>
  </si>
  <si>
    <t>Приложение № 10</t>
  </si>
  <si>
    <t>Приложение № 11</t>
  </si>
  <si>
    <t>6. Доходы от возврата целевых остатков прошлых лет</t>
  </si>
  <si>
    <t>Сведения об исполнении консолидированных бюджетов муниципальных образований в Архангельской области за 2015 год, согласно отчетам по ф. 0503317 (годовая), 0503320 (годовая) и 0503387 (за декабрь 2014 и 2015 гг.), представленным в Минфин России (в тыс.руб.)</t>
  </si>
  <si>
    <t>Безвозмездные поступления, с учетом возврата целевых остатков и доходов от возврата остатков</t>
  </si>
  <si>
    <t>Агентство по развитию Соловецкого архипелага Архангельской области</t>
  </si>
  <si>
    <t>Министерство культуры</t>
  </si>
  <si>
    <t>Инспекция по ветеринарному надзору</t>
  </si>
  <si>
    <t>Сведения о выполнении планов финансово-хозяйственной деятельности областных государственных бюджетных и автономных учреждений за счет всех источников, без учета средств во временном распоряжении за 2015 год в разрезе главных распорядителей средств областного бюджета</t>
  </si>
  <si>
    <t>Изменение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</si>
</sst>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0.0"/>
    <numFmt numFmtId="166" formatCode="#,##0.00_ ;[Red]\-#,##0.00\ "/>
    <numFmt numFmtId="167" formatCode="#,##0.0_ ;[Red]\-#,##0.0\ "/>
    <numFmt numFmtId="168" formatCode="#,##0.000000_ ;[Red]\-#,##0.000000\ "/>
    <numFmt numFmtId="169" formatCode="#,##0.000000000000_ ;[Red]\-#,##0.000000000000\ "/>
    <numFmt numFmtId="170" formatCode="#,##0.00000000000_ ;[Red]\-#,##0.00000000000\ "/>
    <numFmt numFmtId="171" formatCode="#,##0.00000_ ;[Red]\-#,##0.00000\ "/>
    <numFmt numFmtId="172" formatCode="000"/>
    <numFmt numFmtId="173" formatCode="0.0%"/>
    <numFmt numFmtId="174" formatCode="0.0_ ;[Red]\-0.0\ "/>
  </numFmts>
  <fonts count="30" x14ac:knownFonts="1">
    <font>
      <sz val="11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8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" fontId="13" fillId="0" borderId="30">
      <alignment horizontal="right" shrinkToFit="1"/>
    </xf>
  </cellStyleXfs>
  <cellXfs count="456">
    <xf numFmtId="0" fontId="0" fillId="0" borderId="0" xfId="0"/>
    <xf numFmtId="0" fontId="3" fillId="0" borderId="12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5" fillId="2" borderId="16" xfId="1" applyNumberFormat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vertical="center" shrinkToFit="1"/>
    </xf>
    <xf numFmtId="166" fontId="8" fillId="0" borderId="0" xfId="0" applyNumberFormat="1" applyFont="1" applyAlignment="1">
      <alignment vertical="center" shrinkToFi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shrinkToFit="1"/>
    </xf>
    <xf numFmtId="49" fontId="10" fillId="0" borderId="10" xfId="0" applyNumberFormat="1" applyFont="1" applyFill="1" applyBorder="1" applyAlignment="1">
      <alignment horizontal="center" vertical="center" shrinkToFit="1"/>
    </xf>
    <xf numFmtId="4" fontId="10" fillId="0" borderId="10" xfId="0" applyNumberFormat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4" fontId="4" fillId="0" borderId="10" xfId="0" applyNumberFormat="1" applyFont="1" applyBorder="1" applyAlignment="1">
      <alignment vertical="center" shrinkToFit="1"/>
    </xf>
    <xf numFmtId="0" fontId="4" fillId="0" borderId="10" xfId="0" applyFont="1" applyBorder="1" applyAlignment="1">
      <alignment vertical="center" wrapText="1"/>
    </xf>
    <xf numFmtId="167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4" fontId="4" fillId="3" borderId="10" xfId="0" applyNumberFormat="1" applyFont="1" applyFill="1" applyBorder="1" applyAlignment="1">
      <alignment horizontal="right" shrinkToFit="1"/>
    </xf>
    <xf numFmtId="166" fontId="4" fillId="4" borderId="10" xfId="0" applyNumberFormat="1" applyFont="1" applyFill="1" applyBorder="1" applyAlignment="1">
      <alignment horizontal="right" vertical="center" shrinkToFit="1"/>
    </xf>
    <xf numFmtId="4" fontId="4" fillId="3" borderId="14" xfId="0" applyNumberFormat="1" applyFont="1" applyFill="1" applyBorder="1" applyAlignment="1">
      <alignment horizontal="right" shrinkToFit="1"/>
    </xf>
    <xf numFmtId="167" fontId="4" fillId="0" borderId="10" xfId="0" applyNumberFormat="1" applyFont="1" applyBorder="1" applyAlignment="1">
      <alignment vertical="center" wrapText="1"/>
    </xf>
    <xf numFmtId="167" fontId="2" fillId="0" borderId="10" xfId="0" applyNumberFormat="1" applyFont="1" applyBorder="1" applyAlignment="1">
      <alignment vertical="center" wrapText="1"/>
    </xf>
    <xf numFmtId="167" fontId="4" fillId="0" borderId="13" xfId="0" applyNumberFormat="1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" fontId="5" fillId="3" borderId="10" xfId="0" applyNumberFormat="1" applyFont="1" applyFill="1" applyBorder="1" applyAlignment="1">
      <alignment horizontal="right" shrinkToFit="1"/>
    </xf>
    <xf numFmtId="4" fontId="5" fillId="5" borderId="10" xfId="0" applyNumberFormat="1" applyFont="1" applyFill="1" applyBorder="1" applyAlignment="1">
      <alignment horizontal="right" shrinkToFit="1"/>
    </xf>
    <xf numFmtId="167" fontId="5" fillId="0" borderId="10" xfId="0" applyNumberFormat="1" applyFont="1" applyBorder="1" applyAlignment="1">
      <alignment vertical="center" wrapText="1"/>
    </xf>
    <xf numFmtId="167" fontId="5" fillId="0" borderId="13" xfId="0" applyNumberFormat="1" applyFont="1" applyBorder="1" applyAlignment="1">
      <alignment vertical="center" wrapText="1"/>
    </xf>
    <xf numFmtId="168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4" fontId="4" fillId="5" borderId="10" xfId="0" applyNumberFormat="1" applyFont="1" applyFill="1" applyBorder="1" applyAlignment="1">
      <alignment horizontal="right" shrinkToFit="1"/>
    </xf>
    <xf numFmtId="167" fontId="2" fillId="0" borderId="10" xfId="0" applyNumberFormat="1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vertical="center" wrapText="1"/>
    </xf>
    <xf numFmtId="166" fontId="4" fillId="3" borderId="10" xfId="0" applyNumberFormat="1" applyFont="1" applyFill="1" applyBorder="1" applyAlignment="1">
      <alignment vertical="center" wrapText="1"/>
    </xf>
    <xf numFmtId="4" fontId="4" fillId="6" borderId="10" xfId="0" applyNumberFormat="1" applyFont="1" applyFill="1" applyBorder="1" applyAlignment="1">
      <alignment horizontal="right" shrinkToFit="1"/>
    </xf>
    <xf numFmtId="166" fontId="4" fillId="6" borderId="10" xfId="0" applyNumberFormat="1" applyFont="1" applyFill="1" applyBorder="1" applyAlignment="1">
      <alignment vertical="center" wrapText="1"/>
    </xf>
    <xf numFmtId="167" fontId="4" fillId="0" borderId="13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right" vertical="center" shrinkToFit="1"/>
    </xf>
    <xf numFmtId="169" fontId="4" fillId="0" borderId="0" xfId="0" applyNumberFormat="1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167" fontId="4" fillId="0" borderId="10" xfId="0" applyNumberFormat="1" applyFont="1" applyFill="1" applyBorder="1" applyAlignment="1">
      <alignment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4" fontId="16" fillId="7" borderId="10" xfId="0" applyNumberFormat="1" applyFont="1" applyFill="1" applyBorder="1" applyAlignment="1">
      <alignment horizontal="right" shrinkToFit="1"/>
    </xf>
    <xf numFmtId="4" fontId="16" fillId="7" borderId="14" xfId="0" applyNumberFormat="1" applyFont="1" applyFill="1" applyBorder="1" applyAlignment="1">
      <alignment horizontal="right" shrinkToFit="1"/>
    </xf>
    <xf numFmtId="167" fontId="15" fillId="7" borderId="10" xfId="0" applyNumberFormat="1" applyFont="1" applyFill="1" applyBorder="1" applyAlignment="1">
      <alignment vertical="center" wrapText="1"/>
    </xf>
    <xf numFmtId="167" fontId="15" fillId="7" borderId="13" xfId="0" applyNumberFormat="1" applyFont="1" applyFill="1" applyBorder="1" applyAlignment="1">
      <alignment vertical="center" wrapText="1"/>
    </xf>
    <xf numFmtId="167" fontId="15" fillId="7" borderId="0" xfId="0" applyNumberFormat="1" applyFont="1" applyFill="1" applyAlignment="1">
      <alignment vertical="center" wrapText="1"/>
    </xf>
    <xf numFmtId="166" fontId="15" fillId="7" borderId="0" xfId="0" applyNumberFormat="1" applyFont="1" applyFill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4" fontId="17" fillId="6" borderId="10" xfId="0" applyNumberFormat="1" applyFont="1" applyFill="1" applyBorder="1" applyAlignment="1">
      <alignment horizontal="right" shrinkToFit="1"/>
    </xf>
    <xf numFmtId="4" fontId="17" fillId="5" borderId="10" xfId="0" applyNumberFormat="1" applyFont="1" applyFill="1" applyBorder="1" applyAlignment="1">
      <alignment horizontal="right" shrinkToFit="1"/>
    </xf>
    <xf numFmtId="4" fontId="17" fillId="5" borderId="14" xfId="0" applyNumberFormat="1" applyFont="1" applyFill="1" applyBorder="1" applyAlignment="1">
      <alignment horizontal="right" shrinkToFit="1"/>
    </xf>
    <xf numFmtId="167" fontId="17" fillId="0" borderId="10" xfId="0" applyNumberFormat="1" applyFont="1" applyBorder="1" applyAlignment="1">
      <alignment vertical="center" wrapText="1"/>
    </xf>
    <xf numFmtId="167" fontId="17" fillId="0" borderId="13" xfId="0" applyNumberFormat="1" applyFont="1" applyBorder="1" applyAlignment="1">
      <alignment vertical="center" wrapText="1"/>
    </xf>
    <xf numFmtId="167" fontId="17" fillId="0" borderId="0" xfId="0" applyNumberFormat="1" applyFont="1" applyFill="1" applyAlignment="1">
      <alignment vertical="center" wrapText="1"/>
    </xf>
    <xf numFmtId="166" fontId="17" fillId="0" borderId="0" xfId="0" applyNumberFormat="1" applyFont="1" applyFill="1" applyAlignment="1">
      <alignment vertical="center" wrapText="1"/>
    </xf>
    <xf numFmtId="4" fontId="5" fillId="4" borderId="10" xfId="0" applyNumberFormat="1" applyFont="1" applyFill="1" applyBorder="1" applyAlignment="1">
      <alignment horizontal="right" vertical="center" shrinkToFit="1"/>
    </xf>
    <xf numFmtId="167" fontId="5" fillId="0" borderId="0" xfId="0" applyNumberFormat="1" applyFont="1" applyAlignment="1">
      <alignment vertical="center" wrapText="1"/>
    </xf>
    <xf numFmtId="4" fontId="17" fillId="3" borderId="10" xfId="0" applyNumberFormat="1" applyFont="1" applyFill="1" applyBorder="1" applyAlignment="1">
      <alignment horizontal="right" shrinkToFit="1"/>
    </xf>
    <xf numFmtId="4" fontId="18" fillId="4" borderId="10" xfId="0" applyNumberFormat="1" applyFont="1" applyFill="1" applyBorder="1" applyAlignment="1">
      <alignment horizontal="right" vertical="center" shrinkToFit="1"/>
    </xf>
    <xf numFmtId="4" fontId="18" fillId="3" borderId="10" xfId="0" applyNumberFormat="1" applyFont="1" applyFill="1" applyBorder="1" applyAlignment="1">
      <alignment horizontal="right" shrinkToFit="1"/>
    </xf>
    <xf numFmtId="167" fontId="17" fillId="0" borderId="10" xfId="0" applyNumberFormat="1" applyFont="1" applyBorder="1" applyAlignment="1">
      <alignment horizontal="center" vertical="center" wrapText="1"/>
    </xf>
    <xf numFmtId="167" fontId="17" fillId="0" borderId="13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4" fontId="4" fillId="4" borderId="10" xfId="0" applyNumberFormat="1" applyFont="1" applyFill="1" applyBorder="1" applyAlignment="1">
      <alignment horizontal="right" vertical="center" shrinkToFit="1"/>
    </xf>
    <xf numFmtId="166" fontId="2" fillId="0" borderId="0" xfId="0" applyNumberFormat="1" applyFont="1" applyAlignment="1">
      <alignment vertical="center" wrapText="1"/>
    </xf>
    <xf numFmtId="0" fontId="5" fillId="8" borderId="15" xfId="0" applyFont="1" applyFill="1" applyBorder="1" applyAlignment="1">
      <alignment vertical="center" wrapText="1"/>
    </xf>
    <xf numFmtId="4" fontId="5" fillId="8" borderId="16" xfId="0" applyNumberFormat="1" applyFont="1" applyFill="1" applyBorder="1" applyAlignment="1">
      <alignment horizontal="right" vertical="center" shrinkToFit="1"/>
    </xf>
    <xf numFmtId="167" fontId="5" fillId="8" borderId="16" xfId="0" applyNumberFormat="1" applyFont="1" applyFill="1" applyBorder="1" applyAlignment="1">
      <alignment vertical="center" wrapText="1"/>
    </xf>
    <xf numFmtId="167" fontId="5" fillId="8" borderId="19" xfId="0" applyNumberFormat="1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166" fontId="17" fillId="0" borderId="9" xfId="0" applyNumberFormat="1" applyFont="1" applyBorder="1" applyAlignment="1">
      <alignment vertical="center" shrinkToFit="1"/>
    </xf>
    <xf numFmtId="166" fontId="17" fillId="0" borderId="9" xfId="0" applyNumberFormat="1" applyFont="1" applyBorder="1" applyAlignment="1">
      <alignment vertical="center" wrapText="1"/>
    </xf>
    <xf numFmtId="166" fontId="17" fillId="0" borderId="24" xfId="0" applyNumberFormat="1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166" fontId="17" fillId="0" borderId="25" xfId="0" applyNumberFormat="1" applyFont="1" applyBorder="1" applyAlignment="1">
      <alignment vertical="center" shrinkToFit="1"/>
    </xf>
    <xf numFmtId="166" fontId="17" fillId="0" borderId="25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66" fontId="17" fillId="0" borderId="0" xfId="0" applyNumberFormat="1" applyFont="1" applyBorder="1" applyAlignment="1">
      <alignment vertical="center" shrinkToFit="1"/>
    </xf>
    <xf numFmtId="167" fontId="17" fillId="0" borderId="0" xfId="0" applyNumberFormat="1" applyFont="1" applyBorder="1" applyAlignment="1">
      <alignment vertical="center" shrinkToFit="1"/>
    </xf>
    <xf numFmtId="166" fontId="17" fillId="0" borderId="0" xfId="0" applyNumberFormat="1" applyFont="1" applyBorder="1" applyAlignment="1">
      <alignment vertical="center" wrapText="1"/>
    </xf>
    <xf numFmtId="166" fontId="18" fillId="0" borderId="0" xfId="0" applyNumberFormat="1" applyFont="1" applyFill="1" applyBorder="1" applyAlignment="1">
      <alignment vertical="center" shrinkToFit="1"/>
    </xf>
    <xf numFmtId="171" fontId="18" fillId="0" borderId="0" xfId="0" applyNumberFormat="1" applyFont="1" applyFill="1" applyBorder="1" applyAlignment="1">
      <alignment vertical="center" shrinkToFit="1"/>
    </xf>
    <xf numFmtId="167" fontId="17" fillId="0" borderId="0" xfId="0" applyNumberFormat="1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vertical="center" shrinkToFit="1"/>
    </xf>
    <xf numFmtId="166" fontId="4" fillId="0" borderId="9" xfId="0" applyNumberFormat="1" applyFont="1" applyBorder="1" applyAlignment="1">
      <alignment vertical="center" wrapText="1"/>
    </xf>
    <xf numFmtId="167" fontId="8" fillId="0" borderId="9" xfId="0" applyNumberFormat="1" applyFont="1" applyBorder="1" applyAlignment="1">
      <alignment vertical="center" wrapText="1"/>
    </xf>
    <xf numFmtId="166" fontId="4" fillId="0" borderId="24" xfId="0" applyNumberFormat="1" applyFont="1" applyBorder="1" applyAlignment="1">
      <alignment vertical="center" wrapText="1"/>
    </xf>
    <xf numFmtId="0" fontId="5" fillId="9" borderId="8" xfId="0" applyFont="1" applyFill="1" applyBorder="1" applyAlignment="1">
      <alignment vertical="center" wrapText="1"/>
    </xf>
    <xf numFmtId="4" fontId="5" fillId="9" borderId="9" xfId="0" applyNumberFormat="1" applyFont="1" applyFill="1" applyBorder="1" applyAlignment="1">
      <alignment horizontal="right" shrinkToFit="1"/>
    </xf>
    <xf numFmtId="4" fontId="5" fillId="10" borderId="10" xfId="0" applyNumberFormat="1" applyFont="1" applyFill="1" applyBorder="1" applyAlignment="1">
      <alignment horizontal="right" shrinkToFit="1"/>
    </xf>
    <xf numFmtId="167" fontId="5" fillId="9" borderId="10" xfId="0" applyNumberFormat="1" applyFont="1" applyFill="1" applyBorder="1" applyAlignment="1">
      <alignment vertical="center" wrapText="1"/>
    </xf>
    <xf numFmtId="167" fontId="5" fillId="9" borderId="13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shrinkToFit="1"/>
    </xf>
    <xf numFmtId="4" fontId="5" fillId="4" borderId="9" xfId="0" applyNumberFormat="1" applyFont="1" applyFill="1" applyBorder="1" applyAlignment="1">
      <alignment horizontal="right" shrinkToFit="1"/>
    </xf>
    <xf numFmtId="0" fontId="4" fillId="0" borderId="8" xfId="0" applyFont="1" applyBorder="1" applyAlignment="1">
      <alignment vertical="center" wrapText="1"/>
    </xf>
    <xf numFmtId="4" fontId="4" fillId="3" borderId="10" xfId="0" applyNumberFormat="1" applyFont="1" applyFill="1" applyBorder="1" applyAlignment="1">
      <alignment vertical="center" shrinkToFit="1"/>
    </xf>
    <xf numFmtId="4" fontId="4" fillId="3" borderId="10" xfId="0" applyNumberFormat="1" applyFont="1" applyFill="1" applyBorder="1" applyAlignment="1">
      <alignment horizontal="center" vertical="center" shrinkToFit="1"/>
    </xf>
    <xf numFmtId="4" fontId="4" fillId="5" borderId="10" xfId="0" applyNumberFormat="1" applyFont="1" applyFill="1" applyBorder="1" applyAlignment="1">
      <alignment horizontal="center" vertical="center" shrinkToFit="1"/>
    </xf>
    <xf numFmtId="4" fontId="2" fillId="3" borderId="10" xfId="0" applyNumberFormat="1" applyFont="1" applyFill="1" applyBorder="1" applyAlignment="1">
      <alignment vertical="center" shrinkToFit="1"/>
    </xf>
    <xf numFmtId="4" fontId="4" fillId="5" borderId="10" xfId="0" applyNumberFormat="1" applyFont="1" applyFill="1" applyBorder="1" applyAlignment="1">
      <alignment vertical="center" shrinkToFit="1"/>
    </xf>
    <xf numFmtId="167" fontId="5" fillId="0" borderId="10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shrinkToFit="1"/>
    </xf>
    <xf numFmtId="4" fontId="4" fillId="5" borderId="9" xfId="0" applyNumberFormat="1" applyFont="1" applyFill="1" applyBorder="1" applyAlignment="1">
      <alignment horizontal="right" shrinkToFit="1"/>
    </xf>
    <xf numFmtId="4" fontId="4" fillId="4" borderId="9" xfId="0" applyNumberFormat="1" applyFont="1" applyFill="1" applyBorder="1" applyAlignment="1">
      <alignment horizontal="right" shrinkToFit="1"/>
    </xf>
    <xf numFmtId="0" fontId="16" fillId="0" borderId="8" xfId="0" applyFont="1" applyBorder="1" applyAlignment="1">
      <alignment vertical="center" wrapText="1"/>
    </xf>
    <xf numFmtId="4" fontId="16" fillId="3" borderId="10" xfId="0" applyNumberFormat="1" applyFont="1" applyFill="1" applyBorder="1" applyAlignment="1">
      <alignment horizontal="right" shrinkToFit="1"/>
    </xf>
    <xf numFmtId="4" fontId="16" fillId="5" borderId="10" xfId="0" applyNumberFormat="1" applyFont="1" applyFill="1" applyBorder="1" applyAlignment="1">
      <alignment vertical="center" shrinkToFit="1"/>
    </xf>
    <xf numFmtId="167" fontId="16" fillId="0" borderId="10" xfId="0" applyNumberFormat="1" applyFont="1" applyBorder="1" applyAlignment="1">
      <alignment vertical="center" wrapText="1"/>
    </xf>
    <xf numFmtId="167" fontId="20" fillId="0" borderId="10" xfId="0" applyNumberFormat="1" applyFont="1" applyBorder="1" applyAlignment="1">
      <alignment vertical="center" wrapText="1"/>
    </xf>
    <xf numFmtId="167" fontId="16" fillId="0" borderId="13" xfId="0" applyNumberFormat="1" applyFont="1" applyBorder="1" applyAlignment="1">
      <alignment vertical="center" wrapText="1"/>
    </xf>
    <xf numFmtId="166" fontId="16" fillId="0" borderId="0" xfId="0" applyNumberFormat="1" applyFont="1" applyAlignment="1">
      <alignment vertical="center" wrapText="1"/>
    </xf>
    <xf numFmtId="166" fontId="16" fillId="3" borderId="10" xfId="0" applyNumberFormat="1" applyFont="1" applyFill="1" applyBorder="1" applyAlignment="1">
      <alignment vertical="center" shrinkToFit="1"/>
    </xf>
    <xf numFmtId="167" fontId="16" fillId="0" borderId="10" xfId="0" applyNumberFormat="1" applyFont="1" applyBorder="1" applyAlignment="1">
      <alignment horizontal="center" vertical="center" wrapText="1"/>
    </xf>
    <xf numFmtId="166" fontId="4" fillId="3" borderId="10" xfId="0" applyNumberFormat="1" applyFont="1" applyFill="1" applyBorder="1" applyAlignment="1">
      <alignment vertical="center" shrinkToFit="1"/>
    </xf>
    <xf numFmtId="4" fontId="16" fillId="3" borderId="9" xfId="0" applyNumberFormat="1" applyFont="1" applyFill="1" applyBorder="1" applyAlignment="1">
      <alignment horizontal="right" shrinkToFit="1"/>
    </xf>
    <xf numFmtId="4" fontId="20" fillId="3" borderId="9" xfId="0" applyNumberFormat="1" applyFont="1" applyFill="1" applyBorder="1" applyAlignment="1">
      <alignment horizontal="right" shrinkToFit="1"/>
    </xf>
    <xf numFmtId="166" fontId="4" fillId="3" borderId="10" xfId="0" applyNumberFormat="1" applyFont="1" applyFill="1" applyBorder="1" applyAlignment="1">
      <alignment shrinkToFit="1"/>
    </xf>
    <xf numFmtId="0" fontId="2" fillId="0" borderId="8" xfId="0" applyFont="1" applyBorder="1" applyAlignment="1">
      <alignment vertical="center" wrapText="1"/>
    </xf>
    <xf numFmtId="166" fontId="16" fillId="3" borderId="10" xfId="0" applyNumberFormat="1" applyFont="1" applyFill="1" applyBorder="1" applyAlignment="1">
      <alignment shrinkToFit="1"/>
    </xf>
    <xf numFmtId="166" fontId="2" fillId="3" borderId="10" xfId="0" applyNumberFormat="1" applyFont="1" applyFill="1" applyBorder="1" applyAlignment="1">
      <alignment shrinkToFit="1"/>
    </xf>
    <xf numFmtId="167" fontId="5" fillId="0" borderId="13" xfId="0" applyNumberFormat="1" applyFont="1" applyBorder="1" applyAlignment="1">
      <alignment horizontal="center" vertical="center" wrapText="1"/>
    </xf>
    <xf numFmtId="4" fontId="6" fillId="6" borderId="26" xfId="0" applyNumberFormat="1" applyFont="1" applyFill="1" applyBorder="1" applyAlignment="1">
      <alignment horizontal="right" shrinkToFit="1"/>
    </xf>
    <xf numFmtId="166" fontId="6" fillId="6" borderId="26" xfId="0" applyNumberFormat="1" applyFont="1" applyFill="1" applyBorder="1" applyAlignment="1">
      <alignment vertical="center" shrinkToFit="1"/>
    </xf>
    <xf numFmtId="166" fontId="4" fillId="3" borderId="9" xfId="0" applyNumberFormat="1" applyFont="1" applyFill="1" applyBorder="1" applyAlignment="1">
      <alignment shrinkToFit="1"/>
    </xf>
    <xf numFmtId="166" fontId="5" fillId="3" borderId="10" xfId="0" applyNumberFormat="1" applyFont="1" applyFill="1" applyBorder="1" applyAlignment="1">
      <alignment vertical="center" shrinkToFit="1"/>
    </xf>
    <xf numFmtId="4" fontId="5" fillId="4" borderId="10" xfId="0" applyNumberFormat="1" applyFont="1" applyFill="1" applyBorder="1" applyAlignment="1">
      <alignment horizontal="right" shrinkToFit="1"/>
    </xf>
    <xf numFmtId="4" fontId="4" fillId="4" borderId="10" xfId="0" applyNumberFormat="1" applyFont="1" applyFill="1" applyBorder="1" applyAlignment="1">
      <alignment horizontal="right" shrinkToFit="1"/>
    </xf>
    <xf numFmtId="0" fontId="5" fillId="8" borderId="8" xfId="0" applyFont="1" applyFill="1" applyBorder="1" applyAlignment="1">
      <alignment vertical="center" wrapText="1"/>
    </xf>
    <xf numFmtId="166" fontId="5" fillId="8" borderId="10" xfId="0" applyNumberFormat="1" applyFont="1" applyFill="1" applyBorder="1" applyAlignment="1">
      <alignment vertical="center" shrinkToFit="1"/>
    </xf>
    <xf numFmtId="167" fontId="5" fillId="8" borderId="10" xfId="0" applyNumberFormat="1" applyFont="1" applyFill="1" applyBorder="1" applyAlignment="1">
      <alignment vertical="center" wrapText="1"/>
    </xf>
    <xf numFmtId="167" fontId="5" fillId="8" borderId="13" xfId="0" applyNumberFormat="1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166" fontId="18" fillId="0" borderId="10" xfId="0" applyNumberFormat="1" applyFont="1" applyFill="1" applyBorder="1" applyAlignment="1">
      <alignment vertical="center" shrinkToFit="1"/>
    </xf>
    <xf numFmtId="167" fontId="17" fillId="0" borderId="10" xfId="0" applyNumberFormat="1" applyFont="1" applyFill="1" applyBorder="1" applyAlignment="1">
      <alignment vertical="center" wrapText="1"/>
    </xf>
    <xf numFmtId="167" fontId="18" fillId="0" borderId="10" xfId="0" applyNumberFormat="1" applyFont="1" applyFill="1" applyBorder="1" applyAlignment="1">
      <alignment vertical="center" wrapText="1"/>
    </xf>
    <xf numFmtId="167" fontId="18" fillId="0" borderId="13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6" fontId="4" fillId="0" borderId="10" xfId="0" applyNumberFormat="1" applyFont="1" applyFill="1" applyBorder="1" applyAlignment="1">
      <alignment vertical="center" shrinkToFit="1"/>
    </xf>
    <xf numFmtId="4" fontId="5" fillId="0" borderId="10" xfId="0" applyNumberFormat="1" applyFont="1" applyFill="1" applyBorder="1" applyAlignment="1">
      <alignment vertical="center" shrinkToFit="1"/>
    </xf>
    <xf numFmtId="4" fontId="5" fillId="0" borderId="12" xfId="0" applyNumberFormat="1" applyFont="1" applyFill="1" applyBorder="1" applyAlignment="1">
      <alignment vertical="center" shrinkToFit="1"/>
    </xf>
    <xf numFmtId="167" fontId="4" fillId="0" borderId="10" xfId="0" applyNumberFormat="1" applyFont="1" applyFill="1" applyBorder="1" applyAlignment="1">
      <alignment horizontal="center" vertical="center" wrapText="1"/>
    </xf>
    <xf numFmtId="167" fontId="4" fillId="0" borderId="13" xfId="0" applyNumberFormat="1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166" fontId="17" fillId="0" borderId="22" xfId="0" applyNumberFormat="1" applyFont="1" applyFill="1" applyBorder="1" applyAlignment="1">
      <alignment vertical="center" shrinkToFit="1"/>
    </xf>
    <xf numFmtId="167" fontId="17" fillId="0" borderId="22" xfId="0" applyNumberFormat="1" applyFont="1" applyFill="1" applyBorder="1" applyAlignment="1">
      <alignment vertical="center" wrapText="1"/>
    </xf>
    <xf numFmtId="167" fontId="17" fillId="0" borderId="28" xfId="0" applyNumberFormat="1" applyFont="1" applyFill="1" applyBorder="1" applyAlignment="1">
      <alignment vertical="center" wrapText="1"/>
    </xf>
    <xf numFmtId="166" fontId="5" fillId="8" borderId="16" xfId="0" applyNumberFormat="1" applyFont="1" applyFill="1" applyBorder="1" applyAlignment="1">
      <alignment vertical="center" shrinkToFit="1"/>
    </xf>
    <xf numFmtId="167" fontId="5" fillId="8" borderId="16" xfId="0" applyNumberFormat="1" applyFont="1" applyFill="1" applyBorder="1" applyAlignment="1">
      <alignment horizontal="center" vertical="center" wrapText="1"/>
    </xf>
    <xf numFmtId="167" fontId="5" fillId="8" borderId="19" xfId="0" applyNumberFormat="1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vertical="center" wrapText="1"/>
    </xf>
    <xf numFmtId="166" fontId="5" fillId="3" borderId="9" xfId="0" applyNumberFormat="1" applyFont="1" applyFill="1" applyBorder="1" applyAlignment="1">
      <alignment vertical="center" shrinkToFit="1"/>
    </xf>
    <xf numFmtId="166" fontId="5" fillId="10" borderId="9" xfId="0" applyNumberFormat="1" applyFont="1" applyFill="1" applyBorder="1" applyAlignment="1">
      <alignment vertical="center" shrinkToFit="1"/>
    </xf>
    <xf numFmtId="167" fontId="5" fillId="3" borderId="9" xfId="0" applyNumberFormat="1" applyFont="1" applyFill="1" applyBorder="1" applyAlignment="1">
      <alignment vertical="center" wrapText="1"/>
    </xf>
    <xf numFmtId="167" fontId="5" fillId="3" borderId="24" xfId="0" applyNumberFormat="1" applyFont="1" applyFill="1" applyBorder="1" applyAlignment="1">
      <alignment vertical="center" wrapText="1"/>
    </xf>
    <xf numFmtId="0" fontId="19" fillId="3" borderId="27" xfId="0" applyFont="1" applyFill="1" applyBorder="1" applyAlignment="1">
      <alignment vertical="center" wrapText="1"/>
    </xf>
    <xf numFmtId="166" fontId="5" fillId="3" borderId="22" xfId="0" applyNumberFormat="1" applyFont="1" applyFill="1" applyBorder="1" applyAlignment="1">
      <alignment vertical="center" shrinkToFit="1"/>
    </xf>
    <xf numFmtId="167" fontId="5" fillId="3" borderId="22" xfId="0" applyNumberFormat="1" applyFont="1" applyFill="1" applyBorder="1" applyAlignment="1">
      <alignment vertical="center" wrapText="1"/>
    </xf>
    <xf numFmtId="167" fontId="5" fillId="3" borderId="28" xfId="0" applyNumberFormat="1" applyFont="1" applyFill="1" applyBorder="1" applyAlignment="1">
      <alignment vertical="center" wrapText="1"/>
    </xf>
    <xf numFmtId="166" fontId="5" fillId="0" borderId="0" xfId="0" applyNumberFormat="1" applyFont="1" applyFill="1" applyBorder="1" applyAlignment="1">
      <alignment vertical="center" shrinkToFit="1"/>
    </xf>
    <xf numFmtId="166" fontId="5" fillId="10" borderId="0" xfId="0" applyNumberFormat="1" applyFont="1" applyFill="1" applyBorder="1" applyAlignment="1">
      <alignment vertical="center" shrinkToFit="1"/>
    </xf>
    <xf numFmtId="166" fontId="4" fillId="10" borderId="0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wrapText="1"/>
    </xf>
    <xf numFmtId="166" fontId="5" fillId="0" borderId="29" xfId="0" applyNumberFormat="1" applyFont="1" applyFill="1" applyBorder="1" applyAlignment="1">
      <alignment vertical="center" shrinkToFit="1"/>
    </xf>
    <xf numFmtId="166" fontId="4" fillId="10" borderId="29" xfId="0" applyNumberFormat="1" applyFont="1" applyFill="1" applyBorder="1" applyAlignment="1">
      <alignment vertical="center" shrinkToFit="1"/>
    </xf>
    <xf numFmtId="167" fontId="4" fillId="0" borderId="16" xfId="0" applyNumberFormat="1" applyFont="1" applyBorder="1" applyAlignment="1">
      <alignment vertical="center" wrapText="1"/>
    </xf>
    <xf numFmtId="167" fontId="4" fillId="0" borderId="19" xfId="0" applyNumberFormat="1" applyFont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167" fontId="4" fillId="0" borderId="9" xfId="0" applyNumberFormat="1" applyFont="1" applyBorder="1" applyAlignment="1">
      <alignment vertical="center" wrapText="1"/>
    </xf>
    <xf numFmtId="167" fontId="4" fillId="0" borderId="24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7" fontId="5" fillId="0" borderId="0" xfId="0" applyNumberFormat="1" applyFont="1" applyFill="1" applyBorder="1" applyAlignment="1">
      <alignment vertical="center" wrapText="1"/>
    </xf>
    <xf numFmtId="167" fontId="5" fillId="0" borderId="25" xfId="0" applyNumberFormat="1" applyFont="1" applyFill="1" applyBorder="1" applyAlignment="1">
      <alignment vertical="center" wrapText="1"/>
    </xf>
    <xf numFmtId="166" fontId="5" fillId="0" borderId="0" xfId="0" applyNumberFormat="1" applyFont="1" applyFill="1" applyBorder="1" applyAlignment="1">
      <alignment vertical="center" wrapText="1"/>
    </xf>
    <xf numFmtId="166" fontId="5" fillId="4" borderId="10" xfId="0" applyNumberFormat="1" applyFont="1" applyFill="1" applyBorder="1" applyAlignment="1">
      <alignment vertical="center" shrinkToFit="1"/>
    </xf>
    <xf numFmtId="166" fontId="5" fillId="0" borderId="10" xfId="0" applyNumberFormat="1" applyFont="1" applyFill="1" applyBorder="1" applyAlignment="1">
      <alignment vertical="center" shrinkToFit="1"/>
    </xf>
    <xf numFmtId="166" fontId="13" fillId="0" borderId="30" xfId="2" applyNumberFormat="1" applyAlignment="1" applyProtection="1">
      <alignment horizontal="right" shrinkToFit="1"/>
    </xf>
    <xf numFmtId="166" fontId="4" fillId="4" borderId="10" xfId="0" applyNumberFormat="1" applyFont="1" applyFill="1" applyBorder="1" applyAlignment="1">
      <alignment vertical="center" shrinkToFit="1"/>
    </xf>
    <xf numFmtId="166" fontId="4" fillId="0" borderId="10" xfId="0" applyNumberFormat="1" applyFont="1" applyBorder="1" applyAlignment="1">
      <alignment vertical="center" shrinkToFit="1"/>
    </xf>
    <xf numFmtId="166" fontId="6" fillId="9" borderId="10" xfId="0" applyNumberFormat="1" applyFont="1" applyFill="1" applyBorder="1" applyAlignment="1">
      <alignment horizontal="right" shrinkToFit="1"/>
    </xf>
    <xf numFmtId="166" fontId="4" fillId="11" borderId="10" xfId="0" applyNumberFormat="1" applyFont="1" applyFill="1" applyBorder="1" applyAlignment="1">
      <alignment vertical="center" shrinkToFit="1"/>
    </xf>
    <xf numFmtId="166" fontId="5" fillId="0" borderId="10" xfId="0" applyNumberFormat="1" applyFont="1" applyBorder="1" applyAlignment="1">
      <alignment vertical="center" shrinkToFit="1"/>
    </xf>
    <xf numFmtId="166" fontId="5" fillId="10" borderId="10" xfId="0" applyNumberFormat="1" applyFont="1" applyFill="1" applyBorder="1" applyAlignment="1">
      <alignment vertical="center" shrinkToFit="1"/>
    </xf>
    <xf numFmtId="166" fontId="4" fillId="10" borderId="10" xfId="0" applyNumberFormat="1" applyFont="1" applyFill="1" applyBorder="1" applyAlignment="1">
      <alignment vertical="center" shrinkToFit="1"/>
    </xf>
    <xf numFmtId="166" fontId="4" fillId="8" borderId="10" xfId="0" applyNumberFormat="1" applyFont="1" applyFill="1" applyBorder="1" applyAlignment="1">
      <alignment vertical="center" shrinkToFit="1"/>
    </xf>
    <xf numFmtId="167" fontId="4" fillId="0" borderId="10" xfId="0" applyNumberFormat="1" applyFont="1" applyBorder="1" applyAlignment="1">
      <alignment vertical="center" shrinkToFit="1"/>
    </xf>
    <xf numFmtId="166" fontId="4" fillId="4" borderId="16" xfId="0" applyNumberFormat="1" applyFont="1" applyFill="1" applyBorder="1" applyAlignment="1">
      <alignment vertical="center" shrinkToFit="1"/>
    </xf>
    <xf numFmtId="166" fontId="4" fillId="0" borderId="16" xfId="0" applyNumberFormat="1" applyFont="1" applyBorder="1" applyAlignment="1">
      <alignment vertical="center" shrinkToFit="1"/>
    </xf>
    <xf numFmtId="166" fontId="4" fillId="8" borderId="16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167" fontId="2" fillId="0" borderId="0" xfId="0" applyNumberFormat="1" applyFont="1" applyAlignment="1">
      <alignment vertical="center" wrapText="1"/>
    </xf>
    <xf numFmtId="16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172" fontId="2" fillId="0" borderId="10" xfId="0" applyNumberFormat="1" applyFont="1" applyBorder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167" fontId="3" fillId="0" borderId="16" xfId="0" applyNumberFormat="1" applyFont="1" applyBorder="1" applyAlignment="1">
      <alignment vertical="center" wrapText="1"/>
    </xf>
    <xf numFmtId="167" fontId="3" fillId="0" borderId="19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7" fontId="13" fillId="0" borderId="0" xfId="0" applyNumberFormat="1" applyFont="1" applyAlignment="1">
      <alignment vertical="center" wrapText="1"/>
    </xf>
    <xf numFmtId="167" fontId="2" fillId="0" borderId="29" xfId="0" applyNumberFormat="1" applyFont="1" applyBorder="1" applyAlignment="1">
      <alignment vertical="center" wrapText="1"/>
    </xf>
    <xf numFmtId="167" fontId="4" fillId="0" borderId="29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 wrapText="1"/>
    </xf>
    <xf numFmtId="167" fontId="5" fillId="0" borderId="0" xfId="0" applyNumberFormat="1" applyFont="1" applyBorder="1" applyAlignment="1">
      <alignment vertical="center" wrapText="1"/>
    </xf>
    <xf numFmtId="167" fontId="2" fillId="0" borderId="0" xfId="0" applyNumberFormat="1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vertical="center" wrapText="1"/>
    </xf>
    <xf numFmtId="167" fontId="15" fillId="7" borderId="0" xfId="0" applyNumberFormat="1" applyFont="1" applyFill="1" applyBorder="1" applyAlignment="1">
      <alignment vertical="center" wrapText="1"/>
    </xf>
    <xf numFmtId="167" fontId="17" fillId="0" borderId="0" xfId="0" applyNumberFormat="1" applyFont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 wrapText="1"/>
    </xf>
    <xf numFmtId="167" fontId="5" fillId="8" borderId="0" xfId="0" applyNumberFormat="1" applyFont="1" applyFill="1" applyBorder="1" applyAlignment="1">
      <alignment vertical="center" wrapText="1"/>
    </xf>
    <xf numFmtId="166" fontId="4" fillId="0" borderId="0" xfId="0" applyNumberFormat="1" applyFont="1" applyBorder="1" applyAlignment="1">
      <alignment vertical="center" wrapText="1"/>
    </xf>
    <xf numFmtId="167" fontId="5" fillId="9" borderId="0" xfId="0" applyNumberFormat="1" applyFont="1" applyFill="1" applyBorder="1" applyAlignment="1">
      <alignment vertical="center" wrapText="1"/>
    </xf>
    <xf numFmtId="167" fontId="16" fillId="0" borderId="0" xfId="0" applyNumberFormat="1" applyFont="1" applyBorder="1" applyAlignment="1">
      <alignment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167" fontId="18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vertical="center" wrapText="1"/>
    </xf>
    <xf numFmtId="167" fontId="17" fillId="0" borderId="0" xfId="0" applyNumberFormat="1" applyFont="1" applyFill="1" applyBorder="1" applyAlignment="1">
      <alignment vertical="center" wrapText="1"/>
    </xf>
    <xf numFmtId="167" fontId="5" fillId="8" borderId="0" xfId="0" applyNumberFormat="1" applyFont="1" applyFill="1" applyBorder="1" applyAlignment="1">
      <alignment horizontal="center" vertical="center" wrapText="1"/>
    </xf>
    <xf numFmtId="167" fontId="5" fillId="3" borderId="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Fill="1" applyAlignment="1">
      <alignment vertical="center" wrapText="1"/>
    </xf>
    <xf numFmtId="0" fontId="24" fillId="0" borderId="8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" fillId="0" borderId="8" xfId="0" applyFont="1" applyFill="1" applyBorder="1"/>
    <xf numFmtId="167" fontId="2" fillId="0" borderId="10" xfId="0" applyNumberFormat="1" applyFont="1" applyFill="1" applyBorder="1" applyAlignment="1">
      <alignment vertical="center" wrapText="1"/>
    </xf>
    <xf numFmtId="167" fontId="3" fillId="0" borderId="10" xfId="0" applyNumberFormat="1" applyFont="1" applyFill="1" applyBorder="1" applyAlignment="1">
      <alignment vertical="center" wrapText="1"/>
    </xf>
    <xf numFmtId="167" fontId="2" fillId="0" borderId="13" xfId="0" applyNumberFormat="1" applyFont="1" applyFill="1" applyBorder="1" applyAlignment="1">
      <alignment vertical="center" wrapText="1"/>
    </xf>
    <xf numFmtId="0" fontId="3" fillId="0" borderId="15" xfId="0" applyFont="1" applyFill="1" applyBorder="1"/>
    <xf numFmtId="167" fontId="3" fillId="0" borderId="16" xfId="0" applyNumberFormat="1" applyFont="1" applyFill="1" applyBorder="1" applyAlignment="1">
      <alignment vertical="center" wrapText="1"/>
    </xf>
    <xf numFmtId="167" fontId="3" fillId="0" borderId="19" xfId="0" applyNumberFormat="1" applyFont="1" applyFill="1" applyBorder="1" applyAlignment="1">
      <alignment vertical="center" wrapText="1"/>
    </xf>
    <xf numFmtId="167" fontId="3" fillId="0" borderId="0" xfId="0" applyNumberFormat="1" applyFont="1" applyAlignment="1">
      <alignment horizontal="right" vertical="center"/>
    </xf>
    <xf numFmtId="0" fontId="26" fillId="0" borderId="0" xfId="0" applyFont="1"/>
    <xf numFmtId="49" fontId="10" fillId="0" borderId="8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2" fillId="0" borderId="8" xfId="0" applyFont="1" applyFill="1" applyBorder="1" applyAlignment="1">
      <alignment vertical="center"/>
    </xf>
    <xf numFmtId="167" fontId="3" fillId="0" borderId="13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167" fontId="27" fillId="0" borderId="10" xfId="0" applyNumberFormat="1" applyFont="1" applyFill="1" applyBorder="1" applyAlignment="1">
      <alignment vertical="center" wrapText="1"/>
    </xf>
    <xf numFmtId="167" fontId="27" fillId="0" borderId="13" xfId="0" applyNumberFormat="1" applyFont="1" applyFill="1" applyBorder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67" fontId="2" fillId="0" borderId="0" xfId="0" applyNumberFormat="1" applyFont="1" applyFill="1" applyAlignment="1">
      <alignment vertical="center" wrapText="1"/>
    </xf>
    <xf numFmtId="0" fontId="0" fillId="0" borderId="0" xfId="0" applyAlignment="1">
      <alignment horizontal="right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73" fontId="2" fillId="0" borderId="10" xfId="0" applyNumberFormat="1" applyFont="1" applyBorder="1" applyAlignment="1">
      <alignment vertical="center" wrapText="1"/>
    </xf>
    <xf numFmtId="173" fontId="3" fillId="0" borderId="10" xfId="0" applyNumberFormat="1" applyFont="1" applyBorder="1" applyAlignment="1">
      <alignment vertical="center" wrapText="1"/>
    </xf>
    <xf numFmtId="166" fontId="2" fillId="0" borderId="10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173" fontId="2" fillId="0" borderId="13" xfId="0" applyNumberFormat="1" applyFont="1" applyBorder="1" applyAlignment="1">
      <alignment vertical="center" wrapText="1"/>
    </xf>
    <xf numFmtId="173" fontId="3" fillId="0" borderId="13" xfId="0" applyNumberFormat="1" applyFont="1" applyBorder="1" applyAlignment="1">
      <alignment vertical="center" wrapText="1"/>
    </xf>
    <xf numFmtId="0" fontId="3" fillId="6" borderId="8" xfId="0" applyFont="1" applyFill="1" applyBorder="1" applyAlignment="1">
      <alignment vertical="center" wrapText="1"/>
    </xf>
    <xf numFmtId="167" fontId="3" fillId="6" borderId="10" xfId="0" applyNumberFormat="1" applyFont="1" applyFill="1" applyBorder="1" applyAlignment="1">
      <alignment vertical="center" wrapText="1"/>
    </xf>
    <xf numFmtId="173" fontId="3" fillId="6" borderId="10" xfId="0" applyNumberFormat="1" applyFont="1" applyFill="1" applyBorder="1" applyAlignment="1">
      <alignment vertical="center" wrapText="1"/>
    </xf>
    <xf numFmtId="166" fontId="3" fillId="6" borderId="10" xfId="0" applyNumberFormat="1" applyFont="1" applyFill="1" applyBorder="1" applyAlignment="1">
      <alignment vertical="center" wrapText="1"/>
    </xf>
    <xf numFmtId="173" fontId="3" fillId="6" borderId="13" xfId="0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167" fontId="3" fillId="6" borderId="16" xfId="0" applyNumberFormat="1" applyFont="1" applyFill="1" applyBorder="1" applyAlignment="1">
      <alignment vertical="center" wrapText="1"/>
    </xf>
    <xf numFmtId="173" fontId="3" fillId="6" borderId="16" xfId="0" applyNumberFormat="1" applyFont="1" applyFill="1" applyBorder="1" applyAlignment="1">
      <alignment vertical="center" wrapText="1"/>
    </xf>
    <xf numFmtId="166" fontId="3" fillId="6" borderId="16" xfId="0" applyNumberFormat="1" applyFont="1" applyFill="1" applyBorder="1" applyAlignment="1">
      <alignment vertical="center" wrapText="1"/>
    </xf>
    <xf numFmtId="173" fontId="3" fillId="6" borderId="19" xfId="0" applyNumberFormat="1" applyFont="1" applyFill="1" applyBorder="1" applyAlignment="1">
      <alignment vertical="center" wrapText="1"/>
    </xf>
    <xf numFmtId="167" fontId="3" fillId="6" borderId="19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7" fontId="3" fillId="0" borderId="0" xfId="0" applyNumberFormat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2" fillId="2" borderId="10" xfId="1" applyFont="1" applyFill="1" applyBorder="1" applyAlignment="1">
      <alignment vertical="center" wrapText="1"/>
    </xf>
    <xf numFmtId="164" fontId="2" fillId="2" borderId="10" xfId="1" applyNumberFormat="1" applyFont="1" applyFill="1" applyBorder="1" applyAlignment="1">
      <alignment vertical="center"/>
    </xf>
    <xf numFmtId="164" fontId="2" fillId="2" borderId="14" xfId="1" applyNumberFormat="1" applyFont="1" applyFill="1" applyBorder="1" applyAlignment="1">
      <alignment vertical="center"/>
    </xf>
    <xf numFmtId="164" fontId="2" fillId="2" borderId="12" xfId="1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165" fontId="2" fillId="2" borderId="13" xfId="1" applyNumberFormat="1" applyFont="1" applyFill="1" applyBorder="1" applyAlignment="1">
      <alignment vertical="center"/>
    </xf>
    <xf numFmtId="165" fontId="2" fillId="2" borderId="10" xfId="1" applyNumberFormat="1" applyFont="1" applyFill="1" applyBorder="1" applyAlignment="1">
      <alignment vertical="center"/>
    </xf>
    <xf numFmtId="0" fontId="4" fillId="2" borderId="10" xfId="1" applyNumberFormat="1" applyFont="1" applyFill="1" applyBorder="1" applyAlignment="1">
      <alignment vertical="center" wrapText="1"/>
    </xf>
    <xf numFmtId="164" fontId="2" fillId="2" borderId="10" xfId="1" applyNumberFormat="1" applyFont="1" applyFill="1" applyBorder="1" applyAlignment="1">
      <alignment horizontal="right" vertical="center"/>
    </xf>
    <xf numFmtId="0" fontId="2" fillId="0" borderId="15" xfId="1" applyFont="1" applyBorder="1" applyAlignment="1">
      <alignment vertical="center"/>
    </xf>
    <xf numFmtId="164" fontId="3" fillId="2" borderId="16" xfId="1" applyNumberFormat="1" applyFont="1" applyFill="1" applyBorder="1" applyAlignment="1">
      <alignment vertical="center"/>
    </xf>
    <xf numFmtId="164" fontId="3" fillId="2" borderId="17" xfId="1" applyNumberFormat="1" applyFont="1" applyFill="1" applyBorder="1" applyAlignment="1">
      <alignment horizontal="center" vertical="center"/>
    </xf>
    <xf numFmtId="164" fontId="3" fillId="2" borderId="18" xfId="1" applyNumberFormat="1" applyFont="1" applyFill="1" applyBorder="1" applyAlignment="1">
      <alignment vertical="center"/>
    </xf>
    <xf numFmtId="0" fontId="3" fillId="2" borderId="16" xfId="1" applyFont="1" applyFill="1" applyBorder="1" applyAlignment="1">
      <alignment horizontal="center" vertical="center"/>
    </xf>
    <xf numFmtId="164" fontId="3" fillId="2" borderId="17" xfId="1" applyNumberFormat="1" applyFont="1" applyFill="1" applyBorder="1" applyAlignment="1">
      <alignment vertical="center"/>
    </xf>
    <xf numFmtId="165" fontId="3" fillId="2" borderId="1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0" borderId="8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vertical="center"/>
    </xf>
    <xf numFmtId="0" fontId="2" fillId="0" borderId="13" xfId="1" applyFont="1" applyFill="1" applyBorder="1" applyAlignment="1">
      <alignment vertical="center"/>
    </xf>
    <xf numFmtId="165" fontId="3" fillId="2" borderId="13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0" fillId="0" borderId="8" xfId="0" applyBorder="1"/>
    <xf numFmtId="167" fontId="0" fillId="0" borderId="10" xfId="0" applyNumberFormat="1" applyBorder="1"/>
    <xf numFmtId="166" fontId="0" fillId="0" borderId="10" xfId="0" applyNumberFormat="1" applyBorder="1"/>
    <xf numFmtId="174" fontId="0" fillId="0" borderId="13" xfId="0" applyNumberFormat="1" applyBorder="1"/>
    <xf numFmtId="0" fontId="23" fillId="0" borderId="15" xfId="0" applyFont="1" applyBorder="1"/>
    <xf numFmtId="167" fontId="23" fillId="0" borderId="16" xfId="0" applyNumberFormat="1" applyFont="1" applyBorder="1"/>
    <xf numFmtId="166" fontId="23" fillId="0" borderId="16" xfId="0" applyNumberFormat="1" applyFont="1" applyBorder="1"/>
    <xf numFmtId="174" fontId="23" fillId="0" borderId="19" xfId="0" applyNumberFormat="1" applyFont="1" applyBorder="1"/>
    <xf numFmtId="0" fontId="17" fillId="0" borderId="10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 indent="1"/>
    </xf>
    <xf numFmtId="0" fontId="16" fillId="0" borderId="8" xfId="0" applyFont="1" applyFill="1" applyBorder="1" applyAlignment="1">
      <alignment horizontal="left" vertical="center" wrapText="1" indent="1"/>
    </xf>
    <xf numFmtId="166" fontId="4" fillId="0" borderId="0" xfId="0" applyNumberFormat="1" applyFont="1" applyFill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167" fontId="5" fillId="6" borderId="16" xfId="0" applyNumberFormat="1" applyFont="1" applyFill="1" applyBorder="1" applyAlignment="1">
      <alignment vertical="center" wrapText="1"/>
    </xf>
    <xf numFmtId="167" fontId="5" fillId="6" borderId="19" xfId="0" applyNumberFormat="1" applyFont="1" applyFill="1" applyBorder="1" applyAlignment="1">
      <alignment vertical="center" wrapText="1"/>
    </xf>
    <xf numFmtId="166" fontId="23" fillId="0" borderId="10" xfId="0" applyNumberFormat="1" applyFont="1" applyBorder="1"/>
    <xf numFmtId="174" fontId="23" fillId="0" borderId="13" xfId="0" applyNumberFormat="1" applyFont="1" applyBorder="1"/>
    <xf numFmtId="0" fontId="2" fillId="0" borderId="0" xfId="0" applyFont="1" applyFill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6" fontId="16" fillId="0" borderId="0" xfId="0" applyNumberFormat="1" applyFont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167" fontId="4" fillId="2" borderId="10" xfId="0" applyNumberFormat="1" applyFont="1" applyFill="1" applyBorder="1" applyAlignment="1">
      <alignment vertical="center" wrapText="1"/>
    </xf>
    <xf numFmtId="167" fontId="16" fillId="2" borderId="10" xfId="0" applyNumberFormat="1" applyFont="1" applyFill="1" applyBorder="1" applyAlignment="1">
      <alignment vertical="center" wrapText="1"/>
    </xf>
  </cellXfs>
  <cellStyles count="3">
    <cellStyle name="xl251" xfId="2"/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64478</xdr:colOff>
      <xdr:row>1</xdr:row>
      <xdr:rowOff>29308</xdr:rowOff>
    </xdr:from>
    <xdr:to>
      <xdr:col>16</xdr:col>
      <xdr:colOff>64478</xdr:colOff>
      <xdr:row>42</xdr:row>
      <xdr:rowOff>67408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78" y="205154"/>
          <a:ext cx="10691446" cy="72477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chev\AppData\Local\Microsoft\Windows\Temporary%20Internet%20Files\Content.Outlook\LJICLZ3H\&#1050;&#1080;&#1095;&#1077;&#1074;_&#1087;&#1088;&#1080;&#1083;&#1086;&#1078;&#1077;&#1085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linin\AppData\Local\Microsoft\Windows\Temporary%20Internet%20Files\Content.Outlook\7IBKD3D1\&#1044;&#1086;&#1093;&#1086;&#1076;&#1099;_&#1056;&#1072;&#1089;&#1093;&#1086;&#1076;&#1099;_&#1079;&#1072;&#1088;&#1087;&#1083;&#1072;&#1090;&#1072;_&#1052;&#1054;_2014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 2"/>
      <sheetName val="Прил. 2.1."/>
      <sheetName val="Прил._2.2."/>
      <sheetName val="Прил._ГРБС"/>
      <sheetName val="Прил_Конс. к 2014"/>
      <sheetName val="График_Доходы"/>
      <sheetName val="Расходы_графики"/>
      <sheetName val="Черн"/>
      <sheetName val="Долг МО"/>
    </sheetNames>
    <sheetDataSet>
      <sheetData sheetId="0">
        <row r="51">
          <cell r="V51">
            <v>5528.8815600400003</v>
          </cell>
        </row>
        <row r="53">
          <cell r="V53">
            <v>30.831841470000001</v>
          </cell>
        </row>
        <row r="55">
          <cell r="V55">
            <v>1308.22299529</v>
          </cell>
        </row>
        <row r="57">
          <cell r="V57">
            <v>10271.500906950001</v>
          </cell>
        </row>
        <row r="70">
          <cell r="V70">
            <v>6250.7600527200002</v>
          </cell>
        </row>
        <row r="76">
          <cell r="V76">
            <v>7492.6026993599999</v>
          </cell>
        </row>
        <row r="86">
          <cell r="V86">
            <v>60.301307969999996</v>
          </cell>
        </row>
        <row r="88">
          <cell r="V88">
            <v>24933.276963380002</v>
          </cell>
        </row>
        <row r="90">
          <cell r="V90">
            <v>2488.1388419800001</v>
          </cell>
        </row>
        <row r="92">
          <cell r="V92">
            <v>13969.248195910001</v>
          </cell>
        </row>
        <row r="98">
          <cell r="V98">
            <v>12536.497507209999</v>
          </cell>
        </row>
        <row r="100">
          <cell r="V100">
            <v>735.28522615999998</v>
          </cell>
        </row>
        <row r="102">
          <cell r="V102">
            <v>115.38270308</v>
          </cell>
        </row>
        <row r="103">
          <cell r="V103">
            <v>1733.3477166600001</v>
          </cell>
        </row>
        <row r="104">
          <cell r="V10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X7">
            <v>1581191.23954</v>
          </cell>
          <cell r="Y7">
            <v>1516487.2814900002</v>
          </cell>
          <cell r="AE7">
            <v>1675218.06617</v>
          </cell>
          <cell r="AF7">
            <v>1548562.20172</v>
          </cell>
          <cell r="AR7">
            <v>1128601.36628</v>
          </cell>
          <cell r="AS7">
            <v>1081945.9569300001</v>
          </cell>
          <cell r="AX7">
            <v>452382.90015999996</v>
          </cell>
          <cell r="BB7">
            <v>434312.79659000004</v>
          </cell>
          <cell r="BO7">
            <v>43806.600229999996</v>
          </cell>
          <cell r="BQ7">
            <v>48758.63521</v>
          </cell>
          <cell r="BR7">
            <v>-14242.790230000006</v>
          </cell>
          <cell r="BS7">
            <v>-8072.0731499999965</v>
          </cell>
          <cell r="BW7">
            <v>39000</v>
          </cell>
          <cell r="BX7">
            <v>18000</v>
          </cell>
          <cell r="CG7">
            <v>1128808.33938</v>
          </cell>
          <cell r="CH7">
            <v>1082174.4849</v>
          </cell>
          <cell r="CK7">
            <v>250287.10168000002</v>
          </cell>
          <cell r="CM7">
            <v>235661.86304</v>
          </cell>
        </row>
        <row r="8">
          <cell r="X8">
            <v>706661.00562999991</v>
          </cell>
          <cell r="Y8">
            <v>689405.33545000001</v>
          </cell>
          <cell r="AE8">
            <v>738590.75603000005</v>
          </cell>
          <cell r="AF8">
            <v>656686.7774100001</v>
          </cell>
          <cell r="AR8">
            <v>623048.69929000002</v>
          </cell>
          <cell r="AS8">
            <v>601818.80860999995</v>
          </cell>
          <cell r="AX8">
            <v>85858.642030000003</v>
          </cell>
          <cell r="BB8">
            <v>89768.896970000002</v>
          </cell>
          <cell r="BO8">
            <v>66934.622929999998</v>
          </cell>
          <cell r="BQ8">
            <v>51674.591270000004</v>
          </cell>
          <cell r="BR8">
            <v>32718.558039999996</v>
          </cell>
          <cell r="BS8">
            <v>25909.047130000003</v>
          </cell>
          <cell r="BW8">
            <v>0</v>
          </cell>
          <cell r="BX8">
            <v>0</v>
          </cell>
          <cell r="CG8">
            <v>620802.36360000004</v>
          </cell>
          <cell r="CH8">
            <v>599636.43848000001</v>
          </cell>
          <cell r="CK8">
            <v>39287.457999999999</v>
          </cell>
          <cell r="CM8">
            <v>38463.373930000002</v>
          </cell>
        </row>
        <row r="9">
          <cell r="X9">
            <v>424024.27691000002</v>
          </cell>
          <cell r="Y9">
            <v>425503.77069000003</v>
          </cell>
          <cell r="AE9">
            <v>434002.07471000002</v>
          </cell>
          <cell r="AF9">
            <v>422628.13112999999</v>
          </cell>
          <cell r="AR9">
            <v>349734.77265</v>
          </cell>
          <cell r="AS9">
            <v>349026.75249000004</v>
          </cell>
          <cell r="AX9">
            <v>74168.86</v>
          </cell>
          <cell r="BB9">
            <v>76356.37393999999</v>
          </cell>
          <cell r="BO9">
            <v>10727.61341</v>
          </cell>
          <cell r="BQ9">
            <v>4632.1909999999998</v>
          </cell>
          <cell r="BR9">
            <v>1875.6395599999996</v>
          </cell>
          <cell r="BS9">
            <v>783.25918000000001</v>
          </cell>
          <cell r="BW9">
            <v>0</v>
          </cell>
          <cell r="BX9">
            <v>-1000</v>
          </cell>
          <cell r="CG9">
            <v>349855.41691000003</v>
          </cell>
          <cell r="CH9">
            <v>349147.39675000001</v>
          </cell>
          <cell r="CK9">
            <v>37638.400000000001</v>
          </cell>
          <cell r="CM9">
            <v>37854.386960000003</v>
          </cell>
        </row>
        <row r="10">
          <cell r="X10">
            <v>717516.64774000004</v>
          </cell>
          <cell r="Y10">
            <v>671427.23270000005</v>
          </cell>
          <cell r="AE10">
            <v>722818.52378000005</v>
          </cell>
          <cell r="AF10">
            <v>670428.21125000005</v>
          </cell>
          <cell r="AR10">
            <v>619022.57846000011</v>
          </cell>
          <cell r="AS10">
            <v>573395.84446000005</v>
          </cell>
          <cell r="AX10">
            <v>98422.54</v>
          </cell>
          <cell r="BB10">
            <v>97952.843960000013</v>
          </cell>
          <cell r="BO10">
            <v>6582.2419800000007</v>
          </cell>
          <cell r="BQ10">
            <v>731.99118999999996</v>
          </cell>
          <cell r="BR10">
            <v>999.02145000000019</v>
          </cell>
          <cell r="BS10">
            <v>304.69626999999997</v>
          </cell>
          <cell r="BW10">
            <v>0</v>
          </cell>
          <cell r="BX10">
            <v>0</v>
          </cell>
          <cell r="CG10">
            <v>619094.10774000001</v>
          </cell>
          <cell r="CH10">
            <v>573474.38874000008</v>
          </cell>
          <cell r="CK10">
            <v>48481.95</v>
          </cell>
          <cell r="CM10">
            <v>49019.022219999999</v>
          </cell>
        </row>
        <row r="11">
          <cell r="X11">
            <v>727238.78385999997</v>
          </cell>
          <cell r="Y11">
            <v>717531.07286999992</v>
          </cell>
          <cell r="AE11">
            <v>756885.22023999994</v>
          </cell>
          <cell r="AF11">
            <v>711871.19139000005</v>
          </cell>
          <cell r="AR11">
            <v>597071.33008999994</v>
          </cell>
          <cell r="AS11">
            <v>589656.92488999991</v>
          </cell>
          <cell r="AX11">
            <v>128030.617</v>
          </cell>
          <cell r="BB11">
            <v>125693.54962000001</v>
          </cell>
          <cell r="BO11">
            <v>33047.307339999999</v>
          </cell>
          <cell r="BQ11">
            <v>23851.66359</v>
          </cell>
          <cell r="BR11">
            <v>5659.88148</v>
          </cell>
          <cell r="BS11">
            <v>5783.1675900000009</v>
          </cell>
          <cell r="BW11">
            <v>4000</v>
          </cell>
          <cell r="BX11">
            <v>0</v>
          </cell>
          <cell r="CG11">
            <v>599208.16686</v>
          </cell>
          <cell r="CH11">
            <v>591837.52324999997</v>
          </cell>
          <cell r="CK11">
            <v>56499.3</v>
          </cell>
          <cell r="CM11">
            <v>51206.754759999996</v>
          </cell>
        </row>
        <row r="12">
          <cell r="X12">
            <v>1446633.4766200003</v>
          </cell>
          <cell r="Y12">
            <v>1285038.62848</v>
          </cell>
          <cell r="AE12">
            <v>1624424.78939</v>
          </cell>
          <cell r="AF12">
            <v>1101969.5377400001</v>
          </cell>
          <cell r="AR12">
            <v>1294109.5109600003</v>
          </cell>
          <cell r="AS12">
            <v>1142912.37848</v>
          </cell>
          <cell r="AX12">
            <v>155958.4859</v>
          </cell>
          <cell r="BB12">
            <v>145560.77024000001</v>
          </cell>
          <cell r="BO12">
            <v>381979.45551</v>
          </cell>
          <cell r="BQ12">
            <v>361879.47941000003</v>
          </cell>
          <cell r="BR12">
            <v>194019.09073999999</v>
          </cell>
          <cell r="BS12">
            <v>185919.20215000003</v>
          </cell>
          <cell r="BW12">
            <v>10950</v>
          </cell>
          <cell r="BX12">
            <v>10950</v>
          </cell>
          <cell r="CG12">
            <v>1290674.9907200001</v>
          </cell>
          <cell r="CH12">
            <v>1139477.8582400004</v>
          </cell>
          <cell r="CK12">
            <v>96460.876040000003</v>
          </cell>
          <cell r="CM12">
            <v>91646.591409999994</v>
          </cell>
        </row>
        <row r="13">
          <cell r="X13">
            <v>694381.06070000003</v>
          </cell>
          <cell r="Y13">
            <v>678797.55711000005</v>
          </cell>
          <cell r="AE13">
            <v>741054.36565000005</v>
          </cell>
          <cell r="AF13">
            <v>705525.74342999991</v>
          </cell>
          <cell r="AR13">
            <v>497333.82129999995</v>
          </cell>
          <cell r="AS13">
            <v>495253.25384999998</v>
          </cell>
          <cell r="AX13">
            <v>198390.54156000001</v>
          </cell>
          <cell r="BB13">
            <v>184887.60542000001</v>
          </cell>
          <cell r="BO13">
            <v>15737.725960000002</v>
          </cell>
          <cell r="BQ13">
            <v>9437.5511400000014</v>
          </cell>
          <cell r="BR13">
            <v>-16038.686319999999</v>
          </cell>
          <cell r="BS13">
            <v>-21378.735370000002</v>
          </cell>
          <cell r="BW13">
            <v>30754.069829999997</v>
          </cell>
          <cell r="BX13">
            <v>3223.5191400000003</v>
          </cell>
          <cell r="CG13">
            <v>495990.51913999999</v>
          </cell>
          <cell r="CH13">
            <v>493909.9516899999</v>
          </cell>
          <cell r="CK13">
            <v>97294.399999999994</v>
          </cell>
          <cell r="CM13">
            <v>89317.450299999997</v>
          </cell>
        </row>
        <row r="14">
          <cell r="X14">
            <v>525860.21196999995</v>
          </cell>
          <cell r="Y14">
            <v>520504.83782000002</v>
          </cell>
          <cell r="AE14">
            <v>532662.37078</v>
          </cell>
          <cell r="AF14">
            <v>512858.41408999998</v>
          </cell>
          <cell r="AR14">
            <v>417330.62320999999</v>
          </cell>
          <cell r="AS14">
            <v>415355.53286000004</v>
          </cell>
          <cell r="AX14">
            <v>108634.59464</v>
          </cell>
          <cell r="BB14">
            <v>105256.96084</v>
          </cell>
          <cell r="BO14">
            <v>14522.05084</v>
          </cell>
          <cell r="BQ14">
            <v>18.548999999999999</v>
          </cell>
          <cell r="BR14">
            <v>7646.4237299999995</v>
          </cell>
          <cell r="BS14">
            <v>-1116.95901</v>
          </cell>
          <cell r="BW14">
            <v>0</v>
          </cell>
          <cell r="BX14">
            <v>0</v>
          </cell>
          <cell r="CG14">
            <v>417225.61732999992</v>
          </cell>
          <cell r="CH14">
            <v>415247.87698000006</v>
          </cell>
          <cell r="CK14">
            <v>42330.6</v>
          </cell>
          <cell r="CM14">
            <v>41330.617570000002</v>
          </cell>
        </row>
        <row r="15">
          <cell r="X15">
            <v>977988.05059999996</v>
          </cell>
          <cell r="Y15">
            <v>965725.30748000008</v>
          </cell>
          <cell r="AE15">
            <v>1035605.4077899999</v>
          </cell>
          <cell r="AF15">
            <v>891556.43408000004</v>
          </cell>
          <cell r="AR15">
            <v>752290.53081999999</v>
          </cell>
          <cell r="AS15">
            <v>740465.72806999995</v>
          </cell>
          <cell r="AX15">
            <v>119520.35631</v>
          </cell>
          <cell r="BB15">
            <v>119082.41593999999</v>
          </cell>
          <cell r="BO15">
            <v>132140.10045999999</v>
          </cell>
          <cell r="BQ15">
            <v>18481.705600000001</v>
          </cell>
          <cell r="BR15">
            <v>81787.895399999979</v>
          </cell>
          <cell r="BS15">
            <v>-5121.2052899999981</v>
          </cell>
          <cell r="BW15">
            <v>16144.1</v>
          </cell>
          <cell r="BX15">
            <v>7619.0220000000008</v>
          </cell>
          <cell r="CG15">
            <v>858467.6942899999</v>
          </cell>
          <cell r="CH15">
            <v>846642.89153999998</v>
          </cell>
          <cell r="CK15">
            <v>75269.028000000006</v>
          </cell>
          <cell r="CM15">
            <v>73337.127699999997</v>
          </cell>
        </row>
        <row r="16">
          <cell r="X16">
            <v>378042.32644999999</v>
          </cell>
          <cell r="Y16">
            <v>374206.32250999997</v>
          </cell>
          <cell r="AE16">
            <v>382608.06835999998</v>
          </cell>
          <cell r="AF16">
            <v>370611.38738000009</v>
          </cell>
          <cell r="AR16">
            <v>322323.16208999994</v>
          </cell>
          <cell r="AS16">
            <v>322046.69358999992</v>
          </cell>
          <cell r="AX16">
            <v>56720.453000000001</v>
          </cell>
          <cell r="BB16">
            <v>53160.917560000002</v>
          </cell>
          <cell r="BO16">
            <v>8299.2770400000009</v>
          </cell>
          <cell r="BQ16">
            <v>5647.6805000000004</v>
          </cell>
          <cell r="BR16">
            <v>5594.9351300000008</v>
          </cell>
          <cell r="BS16">
            <v>4398.8418600000005</v>
          </cell>
          <cell r="BW16">
            <v>2000</v>
          </cell>
          <cell r="BX16">
            <v>2000</v>
          </cell>
          <cell r="CG16">
            <v>321321.87344999996</v>
          </cell>
          <cell r="CH16">
            <v>321045.40495</v>
          </cell>
          <cell r="CK16">
            <v>31898.7</v>
          </cell>
          <cell r="CM16">
            <v>30672.53773</v>
          </cell>
        </row>
        <row r="17">
          <cell r="X17">
            <v>509444.81367999996</v>
          </cell>
          <cell r="Y17">
            <v>513406.61254</v>
          </cell>
          <cell r="AE17">
            <v>525728.83627999993</v>
          </cell>
          <cell r="AF17">
            <v>515825.03370000003</v>
          </cell>
          <cell r="AR17">
            <v>361350.08599000005</v>
          </cell>
          <cell r="AS17">
            <v>360476.67357000004</v>
          </cell>
          <cell r="AX17">
            <v>147343.10769999999</v>
          </cell>
          <cell r="BB17">
            <v>152177.81898000001</v>
          </cell>
          <cell r="BO17">
            <v>13195.60908</v>
          </cell>
          <cell r="BQ17">
            <v>1435.4765500000001</v>
          </cell>
          <cell r="BR17">
            <v>-418.42115999999987</v>
          </cell>
          <cell r="BS17">
            <v>-578.61951999999997</v>
          </cell>
          <cell r="BW17">
            <v>11000</v>
          </cell>
          <cell r="BX17">
            <v>2000</v>
          </cell>
          <cell r="CG17">
            <v>362101.70598000003</v>
          </cell>
          <cell r="CH17">
            <v>361228.79356000002</v>
          </cell>
          <cell r="CK17">
            <v>97305</v>
          </cell>
          <cell r="CM17">
            <v>90772.63648999999</v>
          </cell>
        </row>
        <row r="18">
          <cell r="X18">
            <v>789222.35626999987</v>
          </cell>
          <cell r="Y18">
            <v>752959.07095000008</v>
          </cell>
          <cell r="AE18">
            <v>835948.96479999996</v>
          </cell>
          <cell r="AF18">
            <v>743624.58421</v>
          </cell>
          <cell r="AR18">
            <v>517911.36041000002</v>
          </cell>
          <cell r="AS18">
            <v>503034.39334000001</v>
          </cell>
          <cell r="AX18">
            <v>272785.09999999998</v>
          </cell>
          <cell r="BB18">
            <v>251410.58555000002</v>
          </cell>
          <cell r="BO18">
            <v>56842.208039999998</v>
          </cell>
          <cell r="BQ18">
            <v>54133.320030000003</v>
          </cell>
          <cell r="BR18">
            <v>23334.48674</v>
          </cell>
          <cell r="BS18">
            <v>26160.949500000002</v>
          </cell>
          <cell r="BW18">
            <v>80000</v>
          </cell>
          <cell r="BX18">
            <v>14000</v>
          </cell>
          <cell r="CG18">
            <v>516437.25626999995</v>
          </cell>
          <cell r="CH18">
            <v>501548.48539999995</v>
          </cell>
          <cell r="CK18">
            <v>148840.4</v>
          </cell>
          <cell r="CM18">
            <v>145376.41111000002</v>
          </cell>
        </row>
        <row r="19">
          <cell r="X19">
            <v>1032805.0463300003</v>
          </cell>
          <cell r="Y19">
            <v>972881.16687999992</v>
          </cell>
          <cell r="AE19">
            <v>1177424.0095299999</v>
          </cell>
          <cell r="AF19">
            <v>943632.39575999975</v>
          </cell>
          <cell r="AR19">
            <v>823175.42626000009</v>
          </cell>
          <cell r="AS19">
            <v>769687.62302000006</v>
          </cell>
          <cell r="AX19">
            <v>231503.76981999999</v>
          </cell>
          <cell r="BB19">
            <v>221822.89961000002</v>
          </cell>
          <cell r="BO19">
            <v>165536.10162</v>
          </cell>
          <cell r="BQ19">
            <v>153311.12443</v>
          </cell>
          <cell r="BR19">
            <v>29248.77111999999</v>
          </cell>
          <cell r="BS19">
            <v>33783.017369999987</v>
          </cell>
          <cell r="BW19">
            <v>0</v>
          </cell>
          <cell r="BX19">
            <v>0</v>
          </cell>
          <cell r="CG19">
            <v>801301.27651</v>
          </cell>
          <cell r="CH19">
            <v>751058.26726999995</v>
          </cell>
          <cell r="CK19">
            <v>128533.3</v>
          </cell>
          <cell r="CM19">
            <v>125772.20022</v>
          </cell>
        </row>
        <row r="20">
          <cell r="X20">
            <v>1074618.4986199997</v>
          </cell>
          <cell r="Y20">
            <v>1072505.2536199999</v>
          </cell>
          <cell r="AE20">
            <v>1087021.5190699997</v>
          </cell>
          <cell r="AF20">
            <v>1069823.20799</v>
          </cell>
          <cell r="AR20">
            <v>928840.09033000015</v>
          </cell>
          <cell r="AS20">
            <v>927257.43381999992</v>
          </cell>
          <cell r="AX20">
            <v>149432.54581000001</v>
          </cell>
          <cell r="BB20">
            <v>148901.95731999999</v>
          </cell>
          <cell r="BO20">
            <v>28559.143390000001</v>
          </cell>
          <cell r="BQ20">
            <v>5140.1649600000001</v>
          </cell>
          <cell r="BR20">
            <v>2682.0456300000005</v>
          </cell>
          <cell r="BS20">
            <v>-1474.3087000000005</v>
          </cell>
          <cell r="BW20">
            <v>0</v>
          </cell>
          <cell r="BX20">
            <v>0</v>
          </cell>
          <cell r="CG20">
            <v>925185.95281000005</v>
          </cell>
          <cell r="CH20">
            <v>923603.29630000005</v>
          </cell>
          <cell r="CK20">
            <v>94450.856499999994</v>
          </cell>
          <cell r="CM20">
            <v>89634.679759999999</v>
          </cell>
        </row>
        <row r="21">
          <cell r="X21">
            <v>1177505.5183999999</v>
          </cell>
          <cell r="Y21">
            <v>1149338.4625500001</v>
          </cell>
          <cell r="AE21">
            <v>1243658.4182800001</v>
          </cell>
          <cell r="AF21">
            <v>1191714.1958300001</v>
          </cell>
          <cell r="AR21">
            <v>815681.42749000015</v>
          </cell>
          <cell r="AS21">
            <v>812945.88769</v>
          </cell>
          <cell r="AX21">
            <v>367573.33315999998</v>
          </cell>
          <cell r="BB21">
            <v>342138.81711</v>
          </cell>
          <cell r="BO21">
            <v>19955.794190000001</v>
          </cell>
          <cell r="BQ21">
            <v>7517.8041700000003</v>
          </cell>
          <cell r="BR21">
            <v>-43875.73328</v>
          </cell>
          <cell r="BS21">
            <v>-43126.356999999996</v>
          </cell>
          <cell r="BW21">
            <v>97000</v>
          </cell>
          <cell r="BX21">
            <v>-1500</v>
          </cell>
          <cell r="CG21">
            <v>809932.18524000014</v>
          </cell>
          <cell r="CH21">
            <v>807199.64544000011</v>
          </cell>
          <cell r="CK21">
            <v>196293.508</v>
          </cell>
          <cell r="CM21">
            <v>188608.42574000001</v>
          </cell>
        </row>
        <row r="22">
          <cell r="X22">
            <v>1458094.70358</v>
          </cell>
          <cell r="Y22">
            <v>1273619.51238</v>
          </cell>
          <cell r="AE22">
            <v>1571685.51492</v>
          </cell>
          <cell r="AF22">
            <v>1368134.5478699999</v>
          </cell>
          <cell r="AR22">
            <v>1111849.2784299999</v>
          </cell>
          <cell r="AS22">
            <v>924816.09605999989</v>
          </cell>
          <cell r="AX22">
            <v>335185.47474000003</v>
          </cell>
          <cell r="BB22">
            <v>337758.55946000002</v>
          </cell>
          <cell r="BO22">
            <v>102610.53202</v>
          </cell>
          <cell r="BQ22">
            <v>4464.2456299999994</v>
          </cell>
          <cell r="BR22">
            <v>-74515.035489999995</v>
          </cell>
          <cell r="BS22">
            <v>-15680.922080000002</v>
          </cell>
          <cell r="BW22">
            <v>20000</v>
          </cell>
          <cell r="BX22">
            <v>20000</v>
          </cell>
          <cell r="CG22">
            <v>1122909.2288400002</v>
          </cell>
          <cell r="CH22">
            <v>935860.95292000007</v>
          </cell>
          <cell r="CK22">
            <v>182672.30028999998</v>
          </cell>
          <cell r="CM22">
            <v>181371.88967999999</v>
          </cell>
        </row>
        <row r="23">
          <cell r="X23">
            <v>1089837.2118499998</v>
          </cell>
          <cell r="Y23">
            <v>1097051.3481400001</v>
          </cell>
          <cell r="AE23">
            <v>1154530.02972</v>
          </cell>
          <cell r="AF23">
            <v>1112514.0074799999</v>
          </cell>
          <cell r="AR23">
            <v>863253.52662000002</v>
          </cell>
          <cell r="AS23">
            <v>858636.27042000007</v>
          </cell>
          <cell r="AX23">
            <v>220638.29355999999</v>
          </cell>
          <cell r="BB23">
            <v>232369.68605000002</v>
          </cell>
          <cell r="BO23">
            <v>49063.261149999998</v>
          </cell>
          <cell r="BQ23">
            <v>26092.269640000002</v>
          </cell>
          <cell r="BR23">
            <v>-2162.6593400000056</v>
          </cell>
          <cell r="BS23">
            <v>-17393.784669999997</v>
          </cell>
          <cell r="BW23">
            <v>27600</v>
          </cell>
          <cell r="BX23">
            <v>13300</v>
          </cell>
          <cell r="CG23">
            <v>869198.91829000006</v>
          </cell>
          <cell r="CH23">
            <v>864681.66209</v>
          </cell>
          <cell r="CK23">
            <v>119051.42440999999</v>
          </cell>
          <cell r="CM23">
            <v>122388.88052999999</v>
          </cell>
        </row>
        <row r="24">
          <cell r="X24">
            <v>1190658.8602099998</v>
          </cell>
          <cell r="Y24">
            <v>1139630.6420900002</v>
          </cell>
          <cell r="AE24">
            <v>1255341.24175</v>
          </cell>
          <cell r="AF24">
            <v>1092474.6597600002</v>
          </cell>
          <cell r="AR24">
            <v>990030.52636999986</v>
          </cell>
          <cell r="AS24">
            <v>948982.47614999989</v>
          </cell>
          <cell r="AX24">
            <v>201221.78186000002</v>
          </cell>
          <cell r="BB24">
            <v>191241.61395999999</v>
          </cell>
          <cell r="BO24">
            <v>141318.52515</v>
          </cell>
          <cell r="BQ24">
            <v>104500.92543</v>
          </cell>
          <cell r="BR24">
            <v>47155.982330000013</v>
          </cell>
          <cell r="BS24">
            <v>49813.067159999999</v>
          </cell>
          <cell r="BW24">
            <v>0</v>
          </cell>
          <cell r="BX24">
            <v>0</v>
          </cell>
          <cell r="CG24">
            <v>989437.07834999985</v>
          </cell>
          <cell r="CH24">
            <v>948389.02812999988</v>
          </cell>
          <cell r="CK24">
            <v>84183.442999999999</v>
          </cell>
          <cell r="CM24">
            <v>76973.226120000007</v>
          </cell>
        </row>
        <row r="25">
          <cell r="X25">
            <v>403688.61101999995</v>
          </cell>
          <cell r="Y25">
            <v>401884.72986999992</v>
          </cell>
          <cell r="AE25">
            <v>413081.42835</v>
          </cell>
          <cell r="AF25">
            <v>405060.78491999995</v>
          </cell>
          <cell r="AR25">
            <v>323538.44169000001</v>
          </cell>
          <cell r="AS25">
            <v>322891.00279</v>
          </cell>
          <cell r="AX25">
            <v>82077.596000000005</v>
          </cell>
          <cell r="BB25">
            <v>80921.153749999998</v>
          </cell>
          <cell r="BO25">
            <v>34183.412499999999</v>
          </cell>
          <cell r="BQ25">
            <v>2106.15</v>
          </cell>
          <cell r="BR25">
            <v>-3176.0550499999954</v>
          </cell>
          <cell r="BS25">
            <v>-226.0320099999999</v>
          </cell>
          <cell r="BW25">
            <v>0</v>
          </cell>
          <cell r="BX25">
            <v>0</v>
          </cell>
          <cell r="CG25">
            <v>321611.01501999999</v>
          </cell>
          <cell r="CH25">
            <v>320963.57611999998</v>
          </cell>
          <cell r="CK25">
            <v>37574</v>
          </cell>
          <cell r="CM25">
            <v>34852.885840000003</v>
          </cell>
        </row>
        <row r="26">
          <cell r="X26">
            <v>7827123.2733999994</v>
          </cell>
          <cell r="Y26">
            <v>7812884.6195600005</v>
          </cell>
          <cell r="AE26">
            <v>8331890.8579799999</v>
          </cell>
          <cell r="AF26">
            <v>7909412.0301999999</v>
          </cell>
          <cell r="AR26">
            <v>3527442.9915100001</v>
          </cell>
          <cell r="AS26">
            <v>3492087.4988099998</v>
          </cell>
          <cell r="AX26">
            <v>4355186.5374399992</v>
          </cell>
          <cell r="BB26">
            <v>4376303.3763000006</v>
          </cell>
          <cell r="BO26">
            <v>32143.330739999998</v>
          </cell>
          <cell r="BQ26">
            <v>277628.02480999997</v>
          </cell>
          <cell r="BR26">
            <v>-36527.410639999995</v>
          </cell>
          <cell r="BS26">
            <v>193857.18164999998</v>
          </cell>
          <cell r="BW26">
            <v>1290000</v>
          </cell>
          <cell r="BX26">
            <v>60000</v>
          </cell>
          <cell r="CG26">
            <v>3471936.7359600002</v>
          </cell>
          <cell r="CH26">
            <v>3436581.2432600004</v>
          </cell>
          <cell r="CK26">
            <v>2765014.3</v>
          </cell>
          <cell r="CM26">
            <v>2653703.5688299998</v>
          </cell>
        </row>
        <row r="27">
          <cell r="X27">
            <v>5958795.8904399993</v>
          </cell>
          <cell r="Y27">
            <v>5789569.54299</v>
          </cell>
          <cell r="AE27">
            <v>6239384.4843999995</v>
          </cell>
          <cell r="AF27">
            <v>5795395.9313500002</v>
          </cell>
          <cell r="AR27">
            <v>2831022.4238200001</v>
          </cell>
          <cell r="AS27">
            <v>2722018.9697600002</v>
          </cell>
          <cell r="AX27">
            <v>3138788.3640799997</v>
          </cell>
          <cell r="BB27">
            <v>3078565.4706899999</v>
          </cell>
          <cell r="BO27">
            <v>301189.12536000001</v>
          </cell>
          <cell r="BQ27">
            <v>260112.93596999999</v>
          </cell>
          <cell r="BR27">
            <v>28867.211639999994</v>
          </cell>
          <cell r="BS27">
            <v>74695.724759999983</v>
          </cell>
          <cell r="BW27">
            <v>1631466.665</v>
          </cell>
          <cell r="BX27">
            <v>20000</v>
          </cell>
          <cell r="CG27">
            <v>2820007.52636</v>
          </cell>
          <cell r="CH27">
            <v>2711004.0723000001</v>
          </cell>
          <cell r="CK27">
            <v>2091627.67</v>
          </cell>
          <cell r="CM27">
            <v>2026628.9686500002</v>
          </cell>
        </row>
        <row r="28">
          <cell r="X28">
            <v>1756313.0054899999</v>
          </cell>
          <cell r="Y28">
            <v>1728823.0769200001</v>
          </cell>
          <cell r="AE28">
            <v>1822210.01611</v>
          </cell>
          <cell r="AF28">
            <v>1787773.04721</v>
          </cell>
          <cell r="AR28">
            <v>989149.20548999996</v>
          </cell>
          <cell r="AS28">
            <v>987795.51937999995</v>
          </cell>
          <cell r="AX28">
            <v>768592.9</v>
          </cell>
          <cell r="BB28">
            <v>742456.62130999996</v>
          </cell>
          <cell r="BO28">
            <v>6862.9381100000001</v>
          </cell>
          <cell r="BQ28">
            <v>1100.89582</v>
          </cell>
          <cell r="BR28">
            <v>-15224.970290000001</v>
          </cell>
          <cell r="BS28">
            <v>-16099.978570000001</v>
          </cell>
          <cell r="BW28">
            <v>104000</v>
          </cell>
          <cell r="BX28">
            <v>39000</v>
          </cell>
          <cell r="CG28">
            <v>987720.10548999999</v>
          </cell>
          <cell r="CH28">
            <v>986366.45561000006</v>
          </cell>
          <cell r="CK28">
            <v>463528</v>
          </cell>
          <cell r="CM28">
            <v>436470.34170999995</v>
          </cell>
        </row>
        <row r="29">
          <cell r="X29">
            <v>968728.38537000003</v>
          </cell>
          <cell r="Y29">
            <v>970367.88861999998</v>
          </cell>
          <cell r="AE29">
            <v>1068121.93346</v>
          </cell>
          <cell r="AF29">
            <v>1040255.35422</v>
          </cell>
          <cell r="AR29">
            <v>609922.53099999996</v>
          </cell>
          <cell r="AS29">
            <v>605937.19598000008</v>
          </cell>
          <cell r="AX29">
            <v>338221.2</v>
          </cell>
          <cell r="BB29">
            <v>364785.23875999998</v>
          </cell>
          <cell r="BO29">
            <v>15606.01649</v>
          </cell>
          <cell r="BQ29">
            <v>2643.29898</v>
          </cell>
          <cell r="BR29">
            <v>-49887.465600000003</v>
          </cell>
          <cell r="BS29">
            <v>-85589.383599999986</v>
          </cell>
          <cell r="BW29">
            <v>70000</v>
          </cell>
          <cell r="BX29">
            <v>20000</v>
          </cell>
          <cell r="CG29">
            <v>630507.18536999996</v>
          </cell>
          <cell r="CH29">
            <v>605582.64986</v>
          </cell>
          <cell r="CK29">
            <v>227063</v>
          </cell>
          <cell r="CM29">
            <v>216730.58269000001</v>
          </cell>
        </row>
        <row r="30">
          <cell r="X30">
            <v>827130.78586000006</v>
          </cell>
          <cell r="Y30">
            <v>832071.55561000004</v>
          </cell>
          <cell r="AE30">
            <v>871087.81923000002</v>
          </cell>
          <cell r="AF30">
            <v>868324.32437000005</v>
          </cell>
          <cell r="AR30">
            <v>452413.31677999999</v>
          </cell>
          <cell r="AS30">
            <v>451734.46480999998</v>
          </cell>
          <cell r="AX30">
            <v>375397.54025999998</v>
          </cell>
          <cell r="BB30">
            <v>381018.54967000004</v>
          </cell>
          <cell r="BO30">
            <v>7704.2646100000002</v>
          </cell>
          <cell r="BQ30">
            <v>627.44568000000004</v>
          </cell>
          <cell r="BR30">
            <v>726.23124000000007</v>
          </cell>
          <cell r="BS30">
            <v>-5737.7847000000002</v>
          </cell>
          <cell r="BW30">
            <v>212247.42499999999</v>
          </cell>
          <cell r="BX30">
            <v>36979</v>
          </cell>
          <cell r="CG30">
            <v>451733.24560000002</v>
          </cell>
          <cell r="CH30">
            <v>451053.00594</v>
          </cell>
          <cell r="CK30">
            <v>241044.845</v>
          </cell>
          <cell r="CM30">
            <v>242204.99469999998</v>
          </cell>
        </row>
        <row r="31">
          <cell r="X31">
            <v>912614.93046000006</v>
          </cell>
          <cell r="Y31">
            <v>822775.59832000011</v>
          </cell>
          <cell r="AE31">
            <v>1252099.5598499998</v>
          </cell>
          <cell r="AF31">
            <v>1144654.58614</v>
          </cell>
          <cell r="AR31">
            <v>481747.03441000002</v>
          </cell>
          <cell r="AS31">
            <v>420770.64127999998</v>
          </cell>
          <cell r="AX31">
            <v>518186</v>
          </cell>
          <cell r="BB31">
            <v>513760.69996</v>
          </cell>
          <cell r="BO31">
            <v>91635.608529999998</v>
          </cell>
          <cell r="BQ31">
            <v>4125.5708500000001</v>
          </cell>
          <cell r="BR31">
            <v>-321878.98782000004</v>
          </cell>
          <cell r="BS31">
            <v>-270456.59707999998</v>
          </cell>
          <cell r="BW31">
            <v>0</v>
          </cell>
          <cell r="BX31">
            <v>0</v>
          </cell>
          <cell r="CG31">
            <v>394428.93046</v>
          </cell>
          <cell r="CH31">
            <v>309014.89835999999</v>
          </cell>
          <cell r="CK31">
            <v>348373</v>
          </cell>
          <cell r="CM31">
            <v>341483.20581999997</v>
          </cell>
        </row>
        <row r="32">
          <cell r="X32">
            <v>94491.885299999994</v>
          </cell>
          <cell r="Y32">
            <v>91270.74742</v>
          </cell>
          <cell r="AE32">
            <v>101611.41856999999</v>
          </cell>
          <cell r="AF32">
            <v>96294.27162</v>
          </cell>
          <cell r="AR32">
            <v>7504.1</v>
          </cell>
          <cell r="AS32">
            <v>7266.3330199999991</v>
          </cell>
          <cell r="AX32">
            <v>87424.019419999997</v>
          </cell>
          <cell r="BB32">
            <v>84440.648520000002</v>
          </cell>
          <cell r="BO32">
            <v>19042.350710000002</v>
          </cell>
          <cell r="BQ32">
            <v>6.2</v>
          </cell>
          <cell r="BR32">
            <v>-5023.5241999999962</v>
          </cell>
          <cell r="BS32">
            <v>-430.03412000000003</v>
          </cell>
          <cell r="BW32">
            <v>0</v>
          </cell>
          <cell r="BX32">
            <v>0</v>
          </cell>
          <cell r="CG32">
            <v>7067.8658800000003</v>
          </cell>
          <cell r="CH32">
            <v>6830.0989</v>
          </cell>
          <cell r="CK32">
            <v>86430.178</v>
          </cell>
          <cell r="CM32">
            <v>83544.467189999996</v>
          </cell>
        </row>
        <row r="33">
          <cell r="X33">
            <v>35250610.856300004</v>
          </cell>
          <cell r="Y33">
            <v>34265667.175059997</v>
          </cell>
          <cell r="AE33">
            <v>37594695.695199989</v>
          </cell>
          <cell r="AF33">
            <v>34677610.992249995</v>
          </cell>
          <cell r="AR33">
            <v>22235698.161750004</v>
          </cell>
          <cell r="AS33">
            <v>21428216.35413</v>
          </cell>
          <cell r="AX33">
            <v>13067645.55445</v>
          </cell>
          <cell r="BB33">
            <v>12932106.82808</v>
          </cell>
          <cell r="BO33">
            <v>1799225.2173899997</v>
          </cell>
          <cell r="BQ33">
            <v>1430059.8908599997</v>
          </cell>
          <cell r="BR33">
            <v>-120655.56519000004</v>
          </cell>
          <cell r="BS33">
            <v>108925.37975000011</v>
          </cell>
          <cell r="BW33">
            <v>3646162.2598299999</v>
          </cell>
          <cell r="BX33">
            <v>264571.54113999999</v>
          </cell>
          <cell r="CG33">
            <v>22182965.301849999</v>
          </cell>
          <cell r="CH33">
            <v>21333560.346980002</v>
          </cell>
          <cell r="CK33">
            <v>8087433.0389200002</v>
          </cell>
          <cell r="CM33">
            <v>7795027.0906999996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Зар.плата"/>
      <sheetName val="ГБУ_ГАО_2015"/>
      <sheetName val="Доходы"/>
      <sheetName val="Бюджет"/>
      <sheetName val="624_625ф."/>
      <sheetName val="Расходы"/>
      <sheetName val="Учреждения_бюдж."/>
      <sheetName val="ГБУ и ГАО_бюдж."/>
      <sheetName val="ГАО и ГБУ_все средств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>
            <v>295414.22711000004</v>
          </cell>
        </row>
        <row r="7">
          <cell r="B7">
            <v>133.61698999999999</v>
          </cell>
        </row>
        <row r="8">
          <cell r="B8">
            <v>53957.764710000003</v>
          </cell>
        </row>
        <row r="9">
          <cell r="B9">
            <v>229621.47373</v>
          </cell>
        </row>
        <row r="10">
          <cell r="B10">
            <v>27999.563870000002</v>
          </cell>
        </row>
        <row r="11">
          <cell r="B11">
            <v>33867.508329999997</v>
          </cell>
        </row>
        <row r="12">
          <cell r="B12">
            <v>101</v>
          </cell>
        </row>
        <row r="13">
          <cell r="B13">
            <v>7782.0016799999994</v>
          </cell>
        </row>
        <row r="14">
          <cell r="B14">
            <v>68439.839010000011</v>
          </cell>
        </row>
        <row r="15">
          <cell r="B15">
            <v>77.505920000000003</v>
          </cell>
        </row>
        <row r="16">
          <cell r="B16">
            <v>37451.406329999998</v>
          </cell>
        </row>
        <row r="17">
          <cell r="B17">
            <v>9000</v>
          </cell>
        </row>
        <row r="18">
          <cell r="B18">
            <v>301.84859999999998</v>
          </cell>
        </row>
        <row r="19">
          <cell r="B19">
            <v>23047.22883</v>
          </cell>
        </row>
        <row r="20">
          <cell r="B20">
            <v>0</v>
          </cell>
        </row>
        <row r="21">
          <cell r="B21">
            <v>13536.75359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2572.23308</v>
          </cell>
        </row>
      </sheetData>
      <sheetData sheetId="9">
        <row r="6">
          <cell r="B6">
            <v>323455.11414999998</v>
          </cell>
        </row>
        <row r="7">
          <cell r="B7">
            <v>3164.4826699999999</v>
          </cell>
        </row>
        <row r="8">
          <cell r="B8">
            <v>55277.191049999994</v>
          </cell>
        </row>
        <row r="9">
          <cell r="B9">
            <v>1455252.59644</v>
          </cell>
        </row>
        <row r="10">
          <cell r="B10">
            <v>41265.267670000001</v>
          </cell>
        </row>
        <row r="11">
          <cell r="B11">
            <v>50862.556539999998</v>
          </cell>
        </row>
        <row r="12">
          <cell r="B12">
            <v>1836.82735</v>
          </cell>
        </row>
        <row r="13">
          <cell r="B13">
            <v>20688.593489999999</v>
          </cell>
        </row>
        <row r="14">
          <cell r="B14">
            <v>68946.78770999999</v>
          </cell>
        </row>
        <row r="15">
          <cell r="B15">
            <v>339.59852000000001</v>
          </cell>
        </row>
        <row r="16">
          <cell r="B16">
            <v>61372.06667</v>
          </cell>
        </row>
        <row r="17">
          <cell r="B17">
            <v>9241.5612200000014</v>
          </cell>
        </row>
        <row r="18">
          <cell r="B18">
            <v>18229.738890000001</v>
          </cell>
        </row>
        <row r="19">
          <cell r="B19">
            <v>23421.638600000002</v>
          </cell>
        </row>
        <row r="20">
          <cell r="B20">
            <v>0</v>
          </cell>
        </row>
        <row r="21">
          <cell r="B21">
            <v>14819.741830000001</v>
          </cell>
        </row>
        <row r="22">
          <cell r="B22">
            <v>13001.954619999999</v>
          </cell>
        </row>
        <row r="23">
          <cell r="B23">
            <v>0</v>
          </cell>
        </row>
        <row r="24">
          <cell r="B24">
            <v>5056.4532900000004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4"/>
  <sheetViews>
    <sheetView topLeftCell="A4" zoomScale="115" zoomScaleNormal="115" workbookViewId="0">
      <pane xSplit="1" ySplit="4" topLeftCell="X147" activePane="bottomRight" state="frozen"/>
      <selection activeCell="A4" sqref="A4"/>
      <selection pane="topRight" activeCell="B4" sqref="B4"/>
      <selection pane="bottomLeft" activeCell="A8" sqref="A8"/>
      <selection pane="bottomRight" activeCell="A150" sqref="A150:XFD150"/>
    </sheetView>
  </sheetViews>
  <sheetFormatPr defaultColWidth="8.19921875" defaultRowHeight="13.2" x14ac:dyDescent="0.25"/>
  <cols>
    <col min="1" max="1" width="42" style="8" customWidth="1"/>
    <col min="2" max="3" width="10.69921875" style="9" customWidth="1"/>
    <col min="4" max="4" width="9.5" style="9" customWidth="1"/>
    <col min="5" max="5" width="10.3984375" style="9" customWidth="1"/>
    <col min="6" max="9" width="8.19921875" style="9" customWidth="1"/>
    <col min="10" max="10" width="10" style="9" customWidth="1"/>
    <col min="11" max="11" width="8.8984375" style="9" customWidth="1"/>
    <col min="12" max="12" width="10.19921875" style="9" customWidth="1"/>
    <col min="13" max="13" width="9.19921875" style="9" customWidth="1"/>
    <col min="14" max="15" width="8.19921875" style="9" customWidth="1"/>
    <col min="16" max="16" width="8.3984375" style="7" customWidth="1"/>
    <col min="17" max="17" width="8.69921875" style="7" bestFit="1" customWidth="1"/>
    <col min="18" max="18" width="8.3984375" style="7" customWidth="1"/>
    <col min="19" max="20" width="7.69921875" style="7" customWidth="1"/>
    <col min="21" max="21" width="7.19921875" style="7" customWidth="1"/>
    <col min="22" max="22" width="9.09765625" style="7" bestFit="1" customWidth="1"/>
    <col min="23" max="23" width="8.19921875" style="7"/>
    <col min="24" max="24" width="8.5" style="7" customWidth="1"/>
    <col min="25" max="25" width="8" style="7" customWidth="1"/>
    <col min="26" max="26" width="8.796875" style="7" bestFit="1" customWidth="1"/>
    <col min="27" max="27" width="7.19921875" style="7" customWidth="1"/>
    <col min="28" max="28" width="8.5" style="7" customWidth="1"/>
    <col min="29" max="29" width="7.69921875" style="7" customWidth="1"/>
    <col min="30" max="30" width="8.3984375" style="7" customWidth="1"/>
    <col min="31" max="31" width="7.69921875" style="7" customWidth="1"/>
    <col min="32" max="32" width="6.8984375" style="7" customWidth="1"/>
    <col min="33" max="33" width="6.3984375" style="7" customWidth="1"/>
    <col min="34" max="34" width="6.3984375" style="7" hidden="1" customWidth="1"/>
    <col min="35" max="35" width="14.19921875" style="7" hidden="1" customWidth="1"/>
    <col min="36" max="36" width="14.3984375" style="7" hidden="1" customWidth="1"/>
    <col min="37" max="37" width="14.8984375" style="7" hidden="1" customWidth="1"/>
    <col min="38" max="16384" width="8.19921875" style="7"/>
  </cols>
  <sheetData>
    <row r="1" spans="1:36" x14ac:dyDescent="0.25">
      <c r="AD1" s="406" t="s">
        <v>488</v>
      </c>
      <c r="AE1" s="406"/>
      <c r="AF1" s="406"/>
      <c r="AG1" s="406"/>
    </row>
    <row r="2" spans="1:36" ht="29.25" customHeight="1" x14ac:dyDescent="0.25">
      <c r="A2" s="407" t="s">
        <v>49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7"/>
      <c r="AH2" s="220"/>
    </row>
    <row r="3" spans="1:36" ht="13.5" thickBot="1" x14ac:dyDescent="0.25">
      <c r="M3" s="10">
        <f>M27+N27+O27-L27</f>
        <v>0</v>
      </c>
      <c r="P3" s="228"/>
      <c r="Q3" s="228"/>
      <c r="R3" s="228"/>
      <c r="S3" s="49"/>
      <c r="T3" s="49"/>
      <c r="U3" s="49"/>
      <c r="V3" s="228"/>
      <c r="W3" s="228"/>
      <c r="X3" s="228"/>
      <c r="AB3" s="229"/>
      <c r="AC3" s="230"/>
      <c r="AD3" s="229"/>
      <c r="AJ3" s="49">
        <f>X3-R3</f>
        <v>0</v>
      </c>
    </row>
    <row r="4" spans="1:36" s="8" customFormat="1" ht="13.95" customHeight="1" thickTop="1" x14ac:dyDescent="0.25">
      <c r="A4" s="396" t="s">
        <v>50</v>
      </c>
      <c r="B4" s="398" t="s">
        <v>51</v>
      </c>
      <c r="C4" s="398"/>
      <c r="D4" s="398"/>
      <c r="E4" s="398"/>
      <c r="F4" s="398"/>
      <c r="G4" s="398"/>
      <c r="H4" s="398"/>
      <c r="I4" s="398" t="s">
        <v>52</v>
      </c>
      <c r="J4" s="398"/>
      <c r="K4" s="398"/>
      <c r="L4" s="398"/>
      <c r="M4" s="398"/>
      <c r="N4" s="398"/>
      <c r="O4" s="398"/>
      <c r="P4" s="398" t="s">
        <v>53</v>
      </c>
      <c r="Q4" s="398"/>
      <c r="R4" s="398"/>
      <c r="S4" s="398"/>
      <c r="T4" s="398"/>
      <c r="U4" s="398"/>
      <c r="V4" s="398" t="s">
        <v>54</v>
      </c>
      <c r="W4" s="398"/>
      <c r="X4" s="398"/>
      <c r="Y4" s="398"/>
      <c r="Z4" s="398"/>
      <c r="AA4" s="398"/>
      <c r="AB4" s="398" t="s">
        <v>55</v>
      </c>
      <c r="AC4" s="398"/>
      <c r="AD4" s="398"/>
      <c r="AE4" s="398"/>
      <c r="AF4" s="398"/>
      <c r="AG4" s="399"/>
      <c r="AH4" s="231"/>
    </row>
    <row r="5" spans="1:36" s="8" customFormat="1" x14ac:dyDescent="0.25">
      <c r="A5" s="397"/>
      <c r="B5" s="390" t="s">
        <v>56</v>
      </c>
      <c r="C5" s="403" t="s">
        <v>57</v>
      </c>
      <c r="D5" s="404"/>
      <c r="E5" s="404"/>
      <c r="F5" s="404"/>
      <c r="G5" s="404"/>
      <c r="H5" s="405"/>
      <c r="I5" s="390" t="s">
        <v>56</v>
      </c>
      <c r="J5" s="223"/>
      <c r="K5" s="388" t="s">
        <v>57</v>
      </c>
      <c r="L5" s="388"/>
      <c r="M5" s="388"/>
      <c r="N5" s="388"/>
      <c r="O5" s="388"/>
      <c r="P5" s="390" t="s">
        <v>56</v>
      </c>
      <c r="Q5" s="388" t="s">
        <v>58</v>
      </c>
      <c r="R5" s="388"/>
      <c r="S5" s="388"/>
      <c r="T5" s="388"/>
      <c r="U5" s="388"/>
      <c r="V5" s="390" t="s">
        <v>56</v>
      </c>
      <c r="W5" s="388" t="s">
        <v>58</v>
      </c>
      <c r="X5" s="388"/>
      <c r="Y5" s="388"/>
      <c r="Z5" s="388"/>
      <c r="AA5" s="388"/>
      <c r="AB5" s="391" t="s">
        <v>56</v>
      </c>
      <c r="AC5" s="388" t="s">
        <v>58</v>
      </c>
      <c r="AD5" s="388"/>
      <c r="AE5" s="388"/>
      <c r="AF5" s="388"/>
      <c r="AG5" s="389"/>
      <c r="AH5" s="231"/>
    </row>
    <row r="6" spans="1:36" s="8" customFormat="1" ht="13.2" customHeight="1" x14ac:dyDescent="0.25">
      <c r="A6" s="397"/>
      <c r="B6" s="390"/>
      <c r="C6" s="401" t="s">
        <v>59</v>
      </c>
      <c r="D6" s="390" t="s">
        <v>60</v>
      </c>
      <c r="E6" s="390" t="s">
        <v>61</v>
      </c>
      <c r="F6" s="394" t="s">
        <v>62</v>
      </c>
      <c r="G6" s="394"/>
      <c r="H6" s="394"/>
      <c r="I6" s="390"/>
      <c r="J6" s="401" t="s">
        <v>59</v>
      </c>
      <c r="K6" s="390" t="s">
        <v>60</v>
      </c>
      <c r="L6" s="390" t="s">
        <v>61</v>
      </c>
      <c r="M6" s="394" t="s">
        <v>62</v>
      </c>
      <c r="N6" s="394"/>
      <c r="O6" s="394"/>
      <c r="P6" s="390"/>
      <c r="Q6" s="390" t="s">
        <v>60</v>
      </c>
      <c r="R6" s="391" t="s">
        <v>61</v>
      </c>
      <c r="S6" s="394" t="s">
        <v>62</v>
      </c>
      <c r="T6" s="394"/>
      <c r="U6" s="394"/>
      <c r="V6" s="390"/>
      <c r="W6" s="390" t="s">
        <v>60</v>
      </c>
      <c r="X6" s="391" t="s">
        <v>61</v>
      </c>
      <c r="Y6" s="394" t="s">
        <v>62</v>
      </c>
      <c r="Z6" s="394"/>
      <c r="AA6" s="394"/>
      <c r="AB6" s="391"/>
      <c r="AC6" s="391" t="s">
        <v>60</v>
      </c>
      <c r="AD6" s="391" t="s">
        <v>61</v>
      </c>
      <c r="AE6" s="392" t="s">
        <v>62</v>
      </c>
      <c r="AF6" s="392"/>
      <c r="AG6" s="393"/>
      <c r="AH6" s="232"/>
    </row>
    <row r="7" spans="1:36" s="8" customFormat="1" ht="26.4" x14ac:dyDescent="0.25">
      <c r="A7" s="397"/>
      <c r="B7" s="390"/>
      <c r="C7" s="402"/>
      <c r="D7" s="390"/>
      <c r="E7" s="390"/>
      <c r="F7" s="224" t="s">
        <v>63</v>
      </c>
      <c r="G7" s="224" t="s">
        <v>64</v>
      </c>
      <c r="H7" s="224" t="s">
        <v>65</v>
      </c>
      <c r="I7" s="390"/>
      <c r="J7" s="402"/>
      <c r="K7" s="390"/>
      <c r="L7" s="390"/>
      <c r="M7" s="224" t="s">
        <v>63</v>
      </c>
      <c r="N7" s="224" t="s">
        <v>64</v>
      </c>
      <c r="O7" s="224" t="s">
        <v>65</v>
      </c>
      <c r="P7" s="390"/>
      <c r="Q7" s="390"/>
      <c r="R7" s="391"/>
      <c r="S7" s="224" t="s">
        <v>63</v>
      </c>
      <c r="T7" s="224" t="s">
        <v>64</v>
      </c>
      <c r="U7" s="224" t="s">
        <v>65</v>
      </c>
      <c r="V7" s="390"/>
      <c r="W7" s="390"/>
      <c r="X7" s="391"/>
      <c r="Y7" s="224" t="s">
        <v>63</v>
      </c>
      <c r="Z7" s="224" t="s">
        <v>64</v>
      </c>
      <c r="AA7" s="224" t="s">
        <v>65</v>
      </c>
      <c r="AB7" s="391"/>
      <c r="AC7" s="391"/>
      <c r="AD7" s="391"/>
      <c r="AE7" s="11" t="s">
        <v>63</v>
      </c>
      <c r="AF7" s="11" t="s">
        <v>64</v>
      </c>
      <c r="AG7" s="12" t="s">
        <v>66</v>
      </c>
      <c r="AH7" s="233"/>
    </row>
    <row r="8" spans="1:36" s="18" customFormat="1" ht="10.199999999999999" x14ac:dyDescent="0.25">
      <c r="A8" s="13" t="s">
        <v>41</v>
      </c>
      <c r="B8" s="14"/>
      <c r="C8" s="14"/>
      <c r="D8" s="15"/>
      <c r="E8" s="14"/>
      <c r="F8" s="16"/>
      <c r="G8" s="16"/>
      <c r="H8" s="16"/>
      <c r="I8" s="14"/>
      <c r="J8" s="14"/>
      <c r="K8" s="14"/>
      <c r="L8" s="14"/>
      <c r="M8" s="16"/>
      <c r="N8" s="16"/>
      <c r="O8" s="16"/>
      <c r="P8" s="14" t="s">
        <v>67</v>
      </c>
      <c r="Q8" s="14" t="s">
        <v>68</v>
      </c>
      <c r="R8" s="14" t="s">
        <v>69</v>
      </c>
      <c r="S8" s="16">
        <v>4</v>
      </c>
      <c r="T8" s="16">
        <v>5</v>
      </c>
      <c r="U8" s="16">
        <v>6</v>
      </c>
      <c r="V8" s="14" t="s">
        <v>70</v>
      </c>
      <c r="W8" s="14" t="s">
        <v>71</v>
      </c>
      <c r="X8" s="14" t="s">
        <v>72</v>
      </c>
      <c r="Y8" s="16">
        <v>10</v>
      </c>
      <c r="Z8" s="16">
        <v>11</v>
      </c>
      <c r="AA8" s="16">
        <v>12</v>
      </c>
      <c r="AB8" s="14" t="s">
        <v>73</v>
      </c>
      <c r="AC8" s="14" t="s">
        <v>74</v>
      </c>
      <c r="AD8" s="14" t="s">
        <v>75</v>
      </c>
      <c r="AE8" s="16" t="s">
        <v>76</v>
      </c>
      <c r="AF8" s="16" t="s">
        <v>77</v>
      </c>
      <c r="AG8" s="17" t="s">
        <v>78</v>
      </c>
      <c r="AH8" s="234"/>
    </row>
    <row r="9" spans="1:36" s="8" customFormat="1" x14ac:dyDescent="0.25">
      <c r="A9" s="221" t="s">
        <v>79</v>
      </c>
      <c r="B9" s="19">
        <f t="shared" ref="B9:D9" si="0">B12+B13+B14+B15+B16+B17+B18+B19+B20+B21+B22+B23+B24+B25+B26-B11+B28</f>
        <v>0</v>
      </c>
      <c r="C9" s="19">
        <f t="shared" si="0"/>
        <v>0</v>
      </c>
      <c r="D9" s="19">
        <f t="shared" si="0"/>
        <v>0</v>
      </c>
      <c r="E9" s="19">
        <f>E12+E13+E14+E15+E16+E17+E18+E19+E20+E21+E22+E23+E24+E25+E26-E11+E28</f>
        <v>0</v>
      </c>
      <c r="F9" s="19">
        <f t="shared" ref="F9:O9" si="1">F12+F13+F14+F15+F16+F17+F18+F19+F20+F21+F22+F23+F24+F25+F26-F11+F28</f>
        <v>-1.9073486328125E-6</v>
      </c>
      <c r="G9" s="19">
        <f t="shared" si="1"/>
        <v>0</v>
      </c>
      <c r="H9" s="19">
        <f t="shared" si="1"/>
        <v>0</v>
      </c>
      <c r="I9" s="19">
        <f t="shared" si="1"/>
        <v>7.62939453125E-6</v>
      </c>
      <c r="J9" s="19">
        <f t="shared" si="1"/>
        <v>0</v>
      </c>
      <c r="K9" s="19">
        <f t="shared" si="1"/>
        <v>-7.62939453125E-6</v>
      </c>
      <c r="L9" s="19">
        <f t="shared" si="1"/>
        <v>1.9073486328125E-6</v>
      </c>
      <c r="M9" s="19">
        <f t="shared" si="1"/>
        <v>1.9073486328125E-6</v>
      </c>
      <c r="N9" s="19">
        <f t="shared" si="1"/>
        <v>0</v>
      </c>
      <c r="O9" s="19">
        <f t="shared" si="1"/>
        <v>2.384185791015625E-7</v>
      </c>
      <c r="P9" s="20"/>
      <c r="Q9" s="20"/>
      <c r="R9" s="21">
        <f>T110+U110</f>
        <v>3769.0988145600004</v>
      </c>
      <c r="S9" s="22"/>
      <c r="T9" s="22"/>
      <c r="U9" s="22"/>
      <c r="V9" s="22"/>
      <c r="W9" s="22"/>
      <c r="X9" s="21">
        <f>Z110+AA110</f>
        <v>3120.8218121899999</v>
      </c>
      <c r="Y9" s="20"/>
      <c r="Z9" s="20"/>
      <c r="AA9" s="20"/>
      <c r="AB9" s="20"/>
      <c r="AC9" s="20"/>
      <c r="AD9" s="20"/>
      <c r="AE9" s="20"/>
      <c r="AF9" s="20"/>
      <c r="AG9" s="23"/>
      <c r="AH9" s="235"/>
    </row>
    <row r="10" spans="1:36" ht="12.75" hidden="1" x14ac:dyDescent="0.2">
      <c r="A10" s="24" t="s">
        <v>80</v>
      </c>
      <c r="B10" s="25">
        <v>78162990522.460007</v>
      </c>
      <c r="C10" s="25">
        <v>26005112467.220001</v>
      </c>
      <c r="D10" s="25">
        <v>65148393318.82</v>
      </c>
      <c r="E10" s="26">
        <f>F10+G10+H10-E110</f>
        <v>35250610856.300003</v>
      </c>
      <c r="F10" s="25">
        <v>18345198156.32</v>
      </c>
      <c r="G10" s="25">
        <v>15752539312.120001</v>
      </c>
      <c r="H10" s="25">
        <v>4921972202.4200001</v>
      </c>
      <c r="I10" s="25">
        <v>78414300968.869995</v>
      </c>
      <c r="J10" s="25">
        <v>24549749632.990002</v>
      </c>
      <c r="K10" s="25">
        <v>65577561614.610001</v>
      </c>
      <c r="L10" s="26">
        <f>M10+N10+O10-L110</f>
        <v>34265667175.060001</v>
      </c>
      <c r="M10" s="27">
        <v>18047763029.439999</v>
      </c>
      <c r="N10" s="27">
        <v>15144476821.98</v>
      </c>
      <c r="O10" s="27">
        <v>4194249135.8299999</v>
      </c>
      <c r="P10" s="28">
        <f t="shared" ref="P10:P38" si="2">B10/1000000</f>
        <v>78162.990522460008</v>
      </c>
      <c r="Q10" s="28">
        <f t="shared" ref="Q10:V25" si="3">D10/1000000</f>
        <v>65148.393318820003</v>
      </c>
      <c r="R10" s="28">
        <f t="shared" si="3"/>
        <v>35250.610856300002</v>
      </c>
      <c r="S10" s="28">
        <f t="shared" si="3"/>
        <v>18345.198156319999</v>
      </c>
      <c r="T10" s="28">
        <f t="shared" si="3"/>
        <v>15752.539312120001</v>
      </c>
      <c r="U10" s="28">
        <f t="shared" si="3"/>
        <v>4921.97220242</v>
      </c>
      <c r="V10" s="28">
        <f t="shared" si="3"/>
        <v>78414.300968869997</v>
      </c>
      <c r="W10" s="28">
        <f t="shared" ref="W10:AA38" si="4">K10/1000000</f>
        <v>65577.561614610007</v>
      </c>
      <c r="X10" s="28">
        <f t="shared" si="4"/>
        <v>34265.66717506</v>
      </c>
      <c r="Y10" s="28">
        <f t="shared" si="4"/>
        <v>18047.763029439997</v>
      </c>
      <c r="Z10" s="28">
        <f t="shared" si="4"/>
        <v>15144.476821979999</v>
      </c>
      <c r="AA10" s="28">
        <f t="shared" si="4"/>
        <v>4194.2491358300003</v>
      </c>
      <c r="AB10" s="29">
        <f t="shared" ref="AB10:AG11" si="5">V10/P10%</f>
        <v>100.32152102258392</v>
      </c>
      <c r="AC10" s="29">
        <f t="shared" si="5"/>
        <v>100.65875499598242</v>
      </c>
      <c r="AD10" s="28">
        <f t="shared" si="5"/>
        <v>97.205881948386235</v>
      </c>
      <c r="AE10" s="28">
        <f t="shared" si="5"/>
        <v>98.378675856507257</v>
      </c>
      <c r="AF10" s="28">
        <f t="shared" si="5"/>
        <v>96.13990812470368</v>
      </c>
      <c r="AG10" s="30">
        <f t="shared" si="5"/>
        <v>85.214807466157609</v>
      </c>
      <c r="AH10" s="236"/>
    </row>
    <row r="11" spans="1:36" s="37" customFormat="1" x14ac:dyDescent="0.25">
      <c r="A11" s="31" t="s">
        <v>81</v>
      </c>
      <c r="B11" s="32">
        <v>59175860219.75</v>
      </c>
      <c r="C11" s="32">
        <v>711466.67</v>
      </c>
      <c r="D11" s="32">
        <v>46108926131.970001</v>
      </c>
      <c r="E11" s="33">
        <f>F11+G11+H11</f>
        <v>13067645554.450001</v>
      </c>
      <c r="F11" s="32">
        <v>9581796561.2000008</v>
      </c>
      <c r="G11" s="32">
        <v>2188462867.0300002</v>
      </c>
      <c r="H11" s="32">
        <v>1297386126.22</v>
      </c>
      <c r="I11" s="32">
        <v>59293513081.019997</v>
      </c>
      <c r="J11" s="32">
        <v>711466.67</v>
      </c>
      <c r="K11" s="32">
        <v>46362117719.610001</v>
      </c>
      <c r="L11" s="33">
        <f>M11+N11+O11</f>
        <v>12932106828.08</v>
      </c>
      <c r="M11" s="32">
        <v>9541330605.2099991</v>
      </c>
      <c r="N11" s="32">
        <v>2178288268.4299998</v>
      </c>
      <c r="O11" s="32">
        <v>1212487954.4400001</v>
      </c>
      <c r="P11" s="34">
        <f t="shared" si="2"/>
        <v>59175.86021975</v>
      </c>
      <c r="Q11" s="34">
        <f t="shared" si="3"/>
        <v>46108.926131970002</v>
      </c>
      <c r="R11" s="34">
        <f t="shared" si="3"/>
        <v>13067.64555445</v>
      </c>
      <c r="S11" s="34">
        <f t="shared" si="3"/>
        <v>9581.7965612000007</v>
      </c>
      <c r="T11" s="34">
        <f t="shared" si="3"/>
        <v>2188.4628670300003</v>
      </c>
      <c r="U11" s="34">
        <f t="shared" si="3"/>
        <v>1297.3861262200001</v>
      </c>
      <c r="V11" s="34">
        <f t="shared" si="3"/>
        <v>59293.513081019999</v>
      </c>
      <c r="W11" s="34">
        <f t="shared" si="4"/>
        <v>46362.117719610003</v>
      </c>
      <c r="X11" s="34">
        <f t="shared" si="4"/>
        <v>12932.106828079999</v>
      </c>
      <c r="Y11" s="34">
        <f t="shared" si="4"/>
        <v>9541.3306052099997</v>
      </c>
      <c r="Z11" s="34">
        <f t="shared" si="4"/>
        <v>2178.2882684299998</v>
      </c>
      <c r="AA11" s="34">
        <f t="shared" si="4"/>
        <v>1212.4879544400001</v>
      </c>
      <c r="AB11" s="34">
        <f t="shared" si="5"/>
        <v>100.19881901307915</v>
      </c>
      <c r="AC11" s="34">
        <f t="shared" si="5"/>
        <v>100.54911620998358</v>
      </c>
      <c r="AD11" s="34">
        <f t="shared" si="5"/>
        <v>98.962791531150415</v>
      </c>
      <c r="AE11" s="34">
        <f t="shared" si="5"/>
        <v>99.577678823260953</v>
      </c>
      <c r="AF11" s="34">
        <f t="shared" si="5"/>
        <v>99.535080135318509</v>
      </c>
      <c r="AG11" s="35">
        <f t="shared" si="5"/>
        <v>93.456213993334813</v>
      </c>
      <c r="AH11" s="237"/>
      <c r="AI11" s="36">
        <f>V11-W11-X11</f>
        <v>-0.71146667000357411</v>
      </c>
    </row>
    <row r="12" spans="1:36" x14ac:dyDescent="0.25">
      <c r="A12" s="38" t="s">
        <v>42</v>
      </c>
      <c r="B12" s="25">
        <v>15467540000</v>
      </c>
      <c r="C12" s="25">
        <v>0</v>
      </c>
      <c r="D12" s="25">
        <v>15467540000</v>
      </c>
      <c r="E12" s="39">
        <f t="shared" ref="E12:E26" si="6">F12+G12+H12</f>
        <v>0</v>
      </c>
      <c r="F12" s="25">
        <v>0</v>
      </c>
      <c r="G12" s="25">
        <v>0</v>
      </c>
      <c r="H12" s="25">
        <v>0</v>
      </c>
      <c r="I12" s="25">
        <v>15877249886.82</v>
      </c>
      <c r="J12" s="25">
        <v>0</v>
      </c>
      <c r="K12" s="25">
        <v>15877249886.82</v>
      </c>
      <c r="L12" s="39">
        <f t="shared" ref="L12:L26" si="7">M12+N12+O12</f>
        <v>0</v>
      </c>
      <c r="M12" s="25">
        <v>0</v>
      </c>
      <c r="N12" s="25">
        <v>0</v>
      </c>
      <c r="O12" s="25">
        <v>0</v>
      </c>
      <c r="P12" s="28">
        <f t="shared" si="2"/>
        <v>15467.54</v>
      </c>
      <c r="Q12" s="28">
        <f t="shared" si="3"/>
        <v>15467.54</v>
      </c>
      <c r="R12" s="28">
        <f t="shared" si="3"/>
        <v>0</v>
      </c>
      <c r="S12" s="28">
        <f t="shared" si="3"/>
        <v>0</v>
      </c>
      <c r="T12" s="28">
        <f t="shared" si="3"/>
        <v>0</v>
      </c>
      <c r="U12" s="28">
        <f t="shared" si="3"/>
        <v>0</v>
      </c>
      <c r="V12" s="28">
        <f t="shared" si="3"/>
        <v>15877.24988682</v>
      </c>
      <c r="W12" s="28">
        <f t="shared" si="4"/>
        <v>15877.24988682</v>
      </c>
      <c r="X12" s="28">
        <f t="shared" si="4"/>
        <v>0</v>
      </c>
      <c r="Y12" s="28">
        <f t="shared" si="4"/>
        <v>0</v>
      </c>
      <c r="Z12" s="28">
        <f t="shared" si="4"/>
        <v>0</v>
      </c>
      <c r="AA12" s="28">
        <f t="shared" si="4"/>
        <v>0</v>
      </c>
      <c r="AB12" s="28">
        <f>V12/P12%</f>
        <v>102.64883676926001</v>
      </c>
      <c r="AC12" s="28">
        <f>W12/Q12%</f>
        <v>102.64883676926001</v>
      </c>
      <c r="AD12" s="40" t="s">
        <v>82</v>
      </c>
      <c r="AE12" s="40" t="s">
        <v>82</v>
      </c>
      <c r="AF12" s="40" t="s">
        <v>82</v>
      </c>
      <c r="AG12" s="41" t="s">
        <v>82</v>
      </c>
      <c r="AH12" s="238"/>
      <c r="AI12" s="7">
        <f t="shared" ref="AI12:AI37" si="8">V12-W12-X12</f>
        <v>0</v>
      </c>
      <c r="AJ12" s="49">
        <f>V12-P12</f>
        <v>409.70988681999916</v>
      </c>
    </row>
    <row r="13" spans="1:36" x14ac:dyDescent="0.25">
      <c r="A13" s="38" t="s">
        <v>83</v>
      </c>
      <c r="B13" s="25">
        <v>23493360538.919998</v>
      </c>
      <c r="C13" s="25">
        <v>0</v>
      </c>
      <c r="D13" s="25">
        <v>15405927500</v>
      </c>
      <c r="E13" s="39">
        <f t="shared" si="6"/>
        <v>8087433038.9200001</v>
      </c>
      <c r="F13" s="25">
        <v>6223080993</v>
      </c>
      <c r="G13" s="25">
        <v>1317398848.9400001</v>
      </c>
      <c r="H13" s="25">
        <v>546953196.98000002</v>
      </c>
      <c r="I13" s="25">
        <v>23195499780.119999</v>
      </c>
      <c r="J13" s="25">
        <v>0</v>
      </c>
      <c r="K13" s="25">
        <v>15400472689.42</v>
      </c>
      <c r="L13" s="39">
        <f t="shared" si="7"/>
        <v>7795027090.6999998</v>
      </c>
      <c r="M13" s="25">
        <v>6000766129.5900002</v>
      </c>
      <c r="N13" s="25">
        <v>1283856221.28</v>
      </c>
      <c r="O13" s="25">
        <v>510404739.82999998</v>
      </c>
      <c r="P13" s="28">
        <f t="shared" si="2"/>
        <v>23493.360538919998</v>
      </c>
      <c r="Q13" s="28">
        <f t="shared" si="3"/>
        <v>15405.9275</v>
      </c>
      <c r="R13" s="28">
        <f t="shared" si="3"/>
        <v>8087.4330389200004</v>
      </c>
      <c r="S13" s="28">
        <f t="shared" si="3"/>
        <v>6223.0809929999996</v>
      </c>
      <c r="T13" s="28">
        <f t="shared" si="3"/>
        <v>1317.3988489400001</v>
      </c>
      <c r="U13" s="28">
        <f t="shared" si="3"/>
        <v>546.95319698000003</v>
      </c>
      <c r="V13" s="28">
        <f t="shared" si="3"/>
        <v>23195.499780120001</v>
      </c>
      <c r="W13" s="28">
        <f t="shared" si="4"/>
        <v>15400.472689419999</v>
      </c>
      <c r="X13" s="28">
        <f t="shared" si="4"/>
        <v>7795.0270906999995</v>
      </c>
      <c r="Y13" s="28">
        <f t="shared" si="4"/>
        <v>6000.7661295899998</v>
      </c>
      <c r="Z13" s="28">
        <f t="shared" si="4"/>
        <v>1283.85622128</v>
      </c>
      <c r="AA13" s="28">
        <f t="shared" si="4"/>
        <v>510.40473982999998</v>
      </c>
      <c r="AB13" s="29">
        <f>V13/P13%</f>
        <v>98.732149203148055</v>
      </c>
      <c r="AC13" s="29">
        <f>W13/Q13%</f>
        <v>99.964592780408708</v>
      </c>
      <c r="AD13" s="29">
        <f t="shared" ref="AD13:AG14" si="9">X13/R13%</f>
        <v>96.384440565840549</v>
      </c>
      <c r="AE13" s="29">
        <f t="shared" si="9"/>
        <v>96.427575606679881</v>
      </c>
      <c r="AF13" s="29">
        <f t="shared" si="9"/>
        <v>97.453874528052836</v>
      </c>
      <c r="AG13" s="42">
        <f t="shared" si="9"/>
        <v>93.317809027938367</v>
      </c>
      <c r="AH13" s="238"/>
      <c r="AI13" s="7">
        <f t="shared" si="8"/>
        <v>0</v>
      </c>
    </row>
    <row r="14" spans="1:36" x14ac:dyDescent="0.25">
      <c r="A14" s="38" t="s">
        <v>84</v>
      </c>
      <c r="B14" s="25">
        <v>3707905001.3899999</v>
      </c>
      <c r="C14" s="25">
        <v>0</v>
      </c>
      <c r="D14" s="25">
        <v>3459538500</v>
      </c>
      <c r="E14" s="39">
        <f t="shared" si="6"/>
        <v>248366501.38999999</v>
      </c>
      <c r="F14" s="25">
        <v>26828800</v>
      </c>
      <c r="G14" s="25">
        <v>92831521.549999997</v>
      </c>
      <c r="H14" s="25">
        <v>128706179.84</v>
      </c>
      <c r="I14" s="25">
        <v>3638930010.8600001</v>
      </c>
      <c r="J14" s="25">
        <v>0</v>
      </c>
      <c r="K14" s="25">
        <v>3358649773.71</v>
      </c>
      <c r="L14" s="39">
        <f t="shared" si="7"/>
        <v>280280237.14999998</v>
      </c>
      <c r="M14" s="25">
        <v>30489444.859999999</v>
      </c>
      <c r="N14" s="25">
        <v>103588772.98999999</v>
      </c>
      <c r="O14" s="25">
        <v>146202019.30000001</v>
      </c>
      <c r="P14" s="28">
        <f t="shared" si="2"/>
        <v>3707.9050013900001</v>
      </c>
      <c r="Q14" s="28">
        <f t="shared" si="3"/>
        <v>3459.5385000000001</v>
      </c>
      <c r="R14" s="28">
        <f t="shared" si="3"/>
        <v>248.36650139</v>
      </c>
      <c r="S14" s="28">
        <f t="shared" si="3"/>
        <v>26.828800000000001</v>
      </c>
      <c r="T14" s="28">
        <f t="shared" si="3"/>
        <v>92.831521549999991</v>
      </c>
      <c r="U14" s="28">
        <f t="shared" si="3"/>
        <v>128.70617984</v>
      </c>
      <c r="V14" s="28">
        <f t="shared" si="3"/>
        <v>3638.93001086</v>
      </c>
      <c r="W14" s="28">
        <f t="shared" si="4"/>
        <v>3358.6497737099999</v>
      </c>
      <c r="X14" s="28">
        <f t="shared" si="4"/>
        <v>280.28023714999995</v>
      </c>
      <c r="Y14" s="28">
        <f t="shared" si="4"/>
        <v>30.489444859999999</v>
      </c>
      <c r="Z14" s="28">
        <f t="shared" si="4"/>
        <v>103.58877299</v>
      </c>
      <c r="AA14" s="28">
        <f t="shared" si="4"/>
        <v>146.20201930000002</v>
      </c>
      <c r="AB14" s="29">
        <f t="shared" ref="AB14:AG38" si="10">V14/P14%</f>
        <v>98.139785390830042</v>
      </c>
      <c r="AC14" s="29">
        <f t="shared" si="10"/>
        <v>97.083751885114154</v>
      </c>
      <c r="AD14" s="29">
        <f t="shared" si="9"/>
        <v>112.84945255555502</v>
      </c>
      <c r="AE14" s="29">
        <f t="shared" si="9"/>
        <v>113.64445990875475</v>
      </c>
      <c r="AF14" s="29">
        <f t="shared" si="9"/>
        <v>111.5879296820596</v>
      </c>
      <c r="AG14" s="42">
        <f t="shared" si="9"/>
        <v>113.59362812395629</v>
      </c>
      <c r="AH14" s="238"/>
      <c r="AI14" s="7">
        <f t="shared" si="8"/>
        <v>0</v>
      </c>
    </row>
    <row r="15" spans="1:36" x14ac:dyDescent="0.25">
      <c r="A15" s="38" t="s">
        <v>43</v>
      </c>
      <c r="B15" s="25">
        <v>3450910273.25</v>
      </c>
      <c r="C15" s="25">
        <v>0</v>
      </c>
      <c r="D15" s="25">
        <v>2326176000</v>
      </c>
      <c r="E15" s="39">
        <f t="shared" si="6"/>
        <v>1124734273.25</v>
      </c>
      <c r="F15" s="25">
        <v>776016088.45000005</v>
      </c>
      <c r="G15" s="25">
        <v>336359731</v>
      </c>
      <c r="H15" s="25">
        <v>12358453.800000001</v>
      </c>
      <c r="I15" s="25">
        <v>3402857907.5999999</v>
      </c>
      <c r="J15" s="25">
        <v>0</v>
      </c>
      <c r="K15" s="25">
        <v>2229803403.3400002</v>
      </c>
      <c r="L15" s="39">
        <f t="shared" si="7"/>
        <v>1173054504.2599998</v>
      </c>
      <c r="M15" s="25">
        <v>820548442.04999995</v>
      </c>
      <c r="N15" s="25">
        <v>333658062.61000001</v>
      </c>
      <c r="O15" s="25">
        <v>18847999.600000001</v>
      </c>
      <c r="P15" s="28">
        <f t="shared" si="2"/>
        <v>3450.91027325</v>
      </c>
      <c r="Q15" s="28">
        <f t="shared" si="3"/>
        <v>2326.1759999999999</v>
      </c>
      <c r="R15" s="28">
        <f t="shared" si="3"/>
        <v>1124.7342732499999</v>
      </c>
      <c r="S15" s="28">
        <f t="shared" si="3"/>
        <v>776.0160884500001</v>
      </c>
      <c r="T15" s="28">
        <f t="shared" si="3"/>
        <v>336.35973100000001</v>
      </c>
      <c r="U15" s="28">
        <f t="shared" si="3"/>
        <v>12.358453800000001</v>
      </c>
      <c r="V15" s="28">
        <f t="shared" si="3"/>
        <v>3402.8579076000001</v>
      </c>
      <c r="W15" s="28">
        <f t="shared" si="4"/>
        <v>2229.8034033399999</v>
      </c>
      <c r="X15" s="28">
        <f t="shared" si="4"/>
        <v>1173.0545042599997</v>
      </c>
      <c r="Y15" s="28">
        <f t="shared" si="4"/>
        <v>820.54844204999995</v>
      </c>
      <c r="Z15" s="28">
        <f t="shared" si="4"/>
        <v>333.65806261</v>
      </c>
      <c r="AA15" s="28">
        <f t="shared" si="4"/>
        <v>18.847999600000001</v>
      </c>
      <c r="AB15" s="29">
        <f t="shared" si="10"/>
        <v>98.607545202711265</v>
      </c>
      <c r="AC15" s="29">
        <f t="shared" si="10"/>
        <v>95.85703761624228</v>
      </c>
      <c r="AD15" s="29">
        <f t="shared" si="10"/>
        <v>104.29614640179632</v>
      </c>
      <c r="AE15" s="29">
        <f t="shared" si="10"/>
        <v>105.73858638536063</v>
      </c>
      <c r="AF15" s="29">
        <f t="shared" si="10"/>
        <v>99.196791963779987</v>
      </c>
      <c r="AG15" s="30">
        <f t="shared" si="10"/>
        <v>152.51098482886266</v>
      </c>
      <c r="AH15" s="238"/>
      <c r="AI15" s="7">
        <f t="shared" si="8"/>
        <v>0</v>
      </c>
    </row>
    <row r="16" spans="1:36" x14ac:dyDescent="0.25">
      <c r="A16" s="38" t="s">
        <v>44</v>
      </c>
      <c r="B16" s="25">
        <v>7303417678.2799997</v>
      </c>
      <c r="C16" s="25">
        <v>0</v>
      </c>
      <c r="D16" s="25">
        <v>6460245000</v>
      </c>
      <c r="E16" s="39">
        <f t="shared" si="6"/>
        <v>843172678.28000009</v>
      </c>
      <c r="F16" s="25">
        <v>598472731.32000005</v>
      </c>
      <c r="G16" s="25">
        <v>0</v>
      </c>
      <c r="H16" s="25">
        <v>244699946.96000001</v>
      </c>
      <c r="I16" s="25">
        <v>7337371803.5699997</v>
      </c>
      <c r="J16" s="25">
        <v>0</v>
      </c>
      <c r="K16" s="25">
        <v>6485620669.3000002</v>
      </c>
      <c r="L16" s="39">
        <f t="shared" si="7"/>
        <v>851751134.26999998</v>
      </c>
      <c r="M16" s="25">
        <v>616692988.38999999</v>
      </c>
      <c r="N16" s="25">
        <v>1052.52</v>
      </c>
      <c r="O16" s="25">
        <v>235057093.36000001</v>
      </c>
      <c r="P16" s="28">
        <f t="shared" si="2"/>
        <v>7303.4176782799996</v>
      </c>
      <c r="Q16" s="28">
        <f t="shared" si="3"/>
        <v>6460.2449999999999</v>
      </c>
      <c r="R16" s="28">
        <f t="shared" si="3"/>
        <v>843.17267828000013</v>
      </c>
      <c r="S16" s="28">
        <f t="shared" si="3"/>
        <v>598.47273132000009</v>
      </c>
      <c r="T16" s="28">
        <f t="shared" si="3"/>
        <v>0</v>
      </c>
      <c r="U16" s="28">
        <f t="shared" si="3"/>
        <v>244.69994696000001</v>
      </c>
      <c r="V16" s="28">
        <f t="shared" si="3"/>
        <v>7337.3718035699994</v>
      </c>
      <c r="W16" s="28">
        <f t="shared" si="4"/>
        <v>6485.6206693000004</v>
      </c>
      <c r="X16" s="28">
        <f t="shared" si="4"/>
        <v>851.75113426999997</v>
      </c>
      <c r="Y16" s="28">
        <f t="shared" si="4"/>
        <v>616.69298838999998</v>
      </c>
      <c r="Z16" s="28">
        <f t="shared" si="4"/>
        <v>1.0525199999999999E-3</v>
      </c>
      <c r="AA16" s="28">
        <f t="shared" si="4"/>
        <v>235.05709336000001</v>
      </c>
      <c r="AB16" s="29">
        <f t="shared" si="10"/>
        <v>100.46490734592625</v>
      </c>
      <c r="AC16" s="29">
        <f t="shared" si="10"/>
        <v>100.39279732115423</v>
      </c>
      <c r="AD16" s="29">
        <f t="shared" si="10"/>
        <v>101.01740203531014</v>
      </c>
      <c r="AE16" s="29">
        <f t="shared" si="10"/>
        <v>103.04445902318942</v>
      </c>
      <c r="AF16" s="29"/>
      <c r="AG16" s="30">
        <f t="shared" si="10"/>
        <v>96.05931520631826</v>
      </c>
      <c r="AH16" s="238"/>
      <c r="AI16" s="7">
        <f t="shared" si="8"/>
        <v>-9.0949470177292824E-13</v>
      </c>
    </row>
    <row r="17" spans="1:37" ht="26.4" x14ac:dyDescent="0.25">
      <c r="A17" s="38" t="s">
        <v>45</v>
      </c>
      <c r="B17" s="25">
        <v>1764935700</v>
      </c>
      <c r="C17" s="25">
        <v>0</v>
      </c>
      <c r="D17" s="25">
        <v>1764935700</v>
      </c>
      <c r="E17" s="39">
        <f t="shared" si="6"/>
        <v>0</v>
      </c>
      <c r="F17" s="43">
        <v>0</v>
      </c>
      <c r="G17" s="43">
        <v>0</v>
      </c>
      <c r="H17" s="43">
        <v>0</v>
      </c>
      <c r="I17" s="44">
        <v>1880895921.0999999</v>
      </c>
      <c r="J17" s="44">
        <v>0</v>
      </c>
      <c r="K17" s="44">
        <v>1880895921.0999999</v>
      </c>
      <c r="L17" s="39">
        <f t="shared" si="7"/>
        <v>0</v>
      </c>
      <c r="M17" s="45">
        <v>0</v>
      </c>
      <c r="N17" s="45">
        <v>0</v>
      </c>
      <c r="O17" s="45">
        <v>0</v>
      </c>
      <c r="P17" s="28">
        <f t="shared" si="2"/>
        <v>1764.9357</v>
      </c>
      <c r="Q17" s="28">
        <f t="shared" si="3"/>
        <v>1764.9357</v>
      </c>
      <c r="R17" s="28">
        <f t="shared" si="3"/>
        <v>0</v>
      </c>
      <c r="S17" s="28">
        <f t="shared" si="3"/>
        <v>0</v>
      </c>
      <c r="T17" s="28">
        <f t="shared" si="3"/>
        <v>0</v>
      </c>
      <c r="U17" s="28">
        <f t="shared" si="3"/>
        <v>0</v>
      </c>
      <c r="V17" s="28">
        <f t="shared" si="3"/>
        <v>1880.8959210999999</v>
      </c>
      <c r="W17" s="28">
        <f t="shared" si="4"/>
        <v>1880.8959210999999</v>
      </c>
      <c r="X17" s="28">
        <f t="shared" si="4"/>
        <v>0</v>
      </c>
      <c r="Y17" s="28">
        <f t="shared" si="4"/>
        <v>0</v>
      </c>
      <c r="Z17" s="28">
        <f t="shared" si="4"/>
        <v>0</v>
      </c>
      <c r="AA17" s="28">
        <f t="shared" si="4"/>
        <v>0</v>
      </c>
      <c r="AB17" s="29">
        <f t="shared" si="10"/>
        <v>106.57022355545304</v>
      </c>
      <c r="AC17" s="29">
        <f t="shared" si="10"/>
        <v>106.57022355545304</v>
      </c>
      <c r="AD17" s="40" t="s">
        <v>82</v>
      </c>
      <c r="AE17" s="40" t="s">
        <v>82</v>
      </c>
      <c r="AF17" s="40" t="s">
        <v>82</v>
      </c>
      <c r="AG17" s="46" t="s">
        <v>82</v>
      </c>
      <c r="AH17" s="238"/>
      <c r="AI17" s="7">
        <f t="shared" si="8"/>
        <v>0</v>
      </c>
    </row>
    <row r="18" spans="1:37" x14ac:dyDescent="0.25">
      <c r="A18" s="38" t="s">
        <v>46</v>
      </c>
      <c r="B18" s="25">
        <v>293594708.30000001</v>
      </c>
      <c r="C18" s="25">
        <v>0</v>
      </c>
      <c r="D18" s="25">
        <v>112516000</v>
      </c>
      <c r="E18" s="39">
        <f t="shared" si="6"/>
        <v>181078708.30000001</v>
      </c>
      <c r="F18" s="25">
        <v>135491900</v>
      </c>
      <c r="G18" s="25">
        <v>41050000</v>
      </c>
      <c r="H18" s="25">
        <v>4536808.3</v>
      </c>
      <c r="I18" s="25">
        <v>316829214.00999999</v>
      </c>
      <c r="J18" s="25">
        <v>0</v>
      </c>
      <c r="K18" s="44">
        <v>127297021.72</v>
      </c>
      <c r="L18" s="39">
        <f t="shared" si="7"/>
        <v>189532192.29000002</v>
      </c>
      <c r="M18" s="25">
        <v>145560051.33000001</v>
      </c>
      <c r="N18" s="25">
        <v>39893649.390000001</v>
      </c>
      <c r="O18" s="25">
        <v>4078491.57</v>
      </c>
      <c r="P18" s="28">
        <f t="shared" si="2"/>
        <v>293.59470830000004</v>
      </c>
      <c r="Q18" s="28">
        <f t="shared" si="3"/>
        <v>112.51600000000001</v>
      </c>
      <c r="R18" s="28">
        <f t="shared" si="3"/>
        <v>181.07870830000002</v>
      </c>
      <c r="S18" s="28">
        <f t="shared" si="3"/>
        <v>135.49189999999999</v>
      </c>
      <c r="T18" s="28">
        <f t="shared" si="3"/>
        <v>41.05</v>
      </c>
      <c r="U18" s="28">
        <f t="shared" si="3"/>
        <v>4.5368082999999997</v>
      </c>
      <c r="V18" s="28">
        <f t="shared" si="3"/>
        <v>316.82921400999999</v>
      </c>
      <c r="W18" s="28">
        <f t="shared" si="4"/>
        <v>127.29702172</v>
      </c>
      <c r="X18" s="28">
        <f t="shared" si="4"/>
        <v>189.53219229000001</v>
      </c>
      <c r="Y18" s="28">
        <f t="shared" si="4"/>
        <v>145.56005133000002</v>
      </c>
      <c r="Z18" s="28">
        <f t="shared" si="4"/>
        <v>39.89364939</v>
      </c>
      <c r="AA18" s="28">
        <f t="shared" si="4"/>
        <v>4.0784915699999997</v>
      </c>
      <c r="AB18" s="29">
        <f t="shared" si="10"/>
        <v>107.91380261740227</v>
      </c>
      <c r="AC18" s="28">
        <f t="shared" si="10"/>
        <v>113.13681762593764</v>
      </c>
      <c r="AD18" s="29">
        <f t="shared" si="10"/>
        <v>104.66840307696187</v>
      </c>
      <c r="AE18" s="29">
        <f t="shared" si="10"/>
        <v>107.43081418889251</v>
      </c>
      <c r="AF18" s="29">
        <f t="shared" si="10"/>
        <v>97.183067941534716</v>
      </c>
      <c r="AG18" s="42">
        <f t="shared" si="10"/>
        <v>89.897815827924674</v>
      </c>
      <c r="AH18" s="238"/>
      <c r="AI18" s="7">
        <f t="shared" si="8"/>
        <v>0</v>
      </c>
    </row>
    <row r="19" spans="1:37" ht="26.4" x14ac:dyDescent="0.25">
      <c r="A19" s="38" t="s">
        <v>85</v>
      </c>
      <c r="B19" s="25">
        <v>19128.73</v>
      </c>
      <c r="C19" s="25">
        <v>0</v>
      </c>
      <c r="D19" s="25">
        <v>0</v>
      </c>
      <c r="E19" s="39">
        <f t="shared" si="6"/>
        <v>19128.73</v>
      </c>
      <c r="F19" s="25">
        <v>2000</v>
      </c>
      <c r="G19" s="25">
        <v>10631.71</v>
      </c>
      <c r="H19" s="25">
        <v>6497.02</v>
      </c>
      <c r="I19" s="47">
        <v>159633.70000000001</v>
      </c>
      <c r="J19" s="47">
        <v>0</v>
      </c>
      <c r="K19" s="47">
        <v>42095.43</v>
      </c>
      <c r="L19" s="39">
        <f t="shared" si="7"/>
        <v>117538.27000000002</v>
      </c>
      <c r="M19" s="47">
        <v>-68984.899999999994</v>
      </c>
      <c r="N19" s="47">
        <v>167861.14</v>
      </c>
      <c r="O19" s="47">
        <v>18662.03</v>
      </c>
      <c r="P19" s="28">
        <f t="shared" si="2"/>
        <v>1.912873E-2</v>
      </c>
      <c r="Q19" s="28">
        <f t="shared" si="3"/>
        <v>0</v>
      </c>
      <c r="R19" s="28">
        <f t="shared" si="3"/>
        <v>1.912873E-2</v>
      </c>
      <c r="S19" s="28">
        <f t="shared" si="3"/>
        <v>2E-3</v>
      </c>
      <c r="T19" s="28">
        <f t="shared" si="3"/>
        <v>1.0631709999999999E-2</v>
      </c>
      <c r="U19" s="28">
        <f t="shared" si="3"/>
        <v>6.4970200000000001E-3</v>
      </c>
      <c r="V19" s="28">
        <f t="shared" si="3"/>
        <v>0.15963370000000002</v>
      </c>
      <c r="W19" s="28">
        <f t="shared" si="4"/>
        <v>4.2095430000000003E-2</v>
      </c>
      <c r="X19" s="28">
        <f t="shared" si="4"/>
        <v>0.11753827000000001</v>
      </c>
      <c r="Y19" s="28">
        <f t="shared" si="4"/>
        <v>-6.8984899999999988E-2</v>
      </c>
      <c r="Z19" s="28">
        <f t="shared" si="4"/>
        <v>0.16786114000000002</v>
      </c>
      <c r="AA19" s="28">
        <f t="shared" si="4"/>
        <v>1.866203E-2</v>
      </c>
      <c r="AB19" s="29"/>
      <c r="AC19" s="28"/>
      <c r="AD19" s="29"/>
      <c r="AE19" s="29"/>
      <c r="AF19" s="29"/>
      <c r="AG19" s="30"/>
      <c r="AH19" s="238"/>
      <c r="AI19" s="48">
        <f t="shared" si="8"/>
        <v>0</v>
      </c>
      <c r="AJ19" s="7">
        <f>SUM(V12:V18)/SUM(P12:P18)*100</f>
        <v>100.30274979539604</v>
      </c>
      <c r="AK19" s="7">
        <f>SUM(X12:X18)/SUM(R12:R18)*100</f>
        <v>98.138826521048856</v>
      </c>
    </row>
    <row r="20" spans="1:37" x14ac:dyDescent="0.25">
      <c r="A20" s="38" t="s">
        <v>86</v>
      </c>
      <c r="B20" s="47">
        <v>1318284637.1300001</v>
      </c>
      <c r="C20" s="47">
        <v>711466.67</v>
      </c>
      <c r="D20" s="47">
        <v>49876700</v>
      </c>
      <c r="E20" s="39">
        <f t="shared" si="6"/>
        <v>1269119403.8000002</v>
      </c>
      <c r="F20" s="47">
        <v>885819423.22000003</v>
      </c>
      <c r="G20" s="47">
        <v>188726886.16999999</v>
      </c>
      <c r="H20" s="47">
        <v>194573094.41</v>
      </c>
      <c r="I20" s="25">
        <v>1304396613.21</v>
      </c>
      <c r="J20" s="25">
        <v>711466.67</v>
      </c>
      <c r="K20" s="25">
        <v>47817555.369999997</v>
      </c>
      <c r="L20" s="39">
        <f t="shared" si="7"/>
        <v>1257290524.51</v>
      </c>
      <c r="M20" s="25">
        <v>889925511.13999999</v>
      </c>
      <c r="N20" s="25">
        <v>202026947.13999999</v>
      </c>
      <c r="O20" s="25">
        <v>165338066.22999999</v>
      </c>
      <c r="P20" s="28">
        <f t="shared" si="2"/>
        <v>1318.2846371300002</v>
      </c>
      <c r="Q20" s="28">
        <f t="shared" si="3"/>
        <v>49.8767</v>
      </c>
      <c r="R20" s="28">
        <f t="shared" si="3"/>
        <v>1269.1194038000001</v>
      </c>
      <c r="S20" s="28">
        <f t="shared" si="3"/>
        <v>885.81942321999998</v>
      </c>
      <c r="T20" s="28">
        <f t="shared" si="3"/>
        <v>188.72688617</v>
      </c>
      <c r="U20" s="28">
        <f t="shared" si="3"/>
        <v>194.57309441000001</v>
      </c>
      <c r="V20" s="28">
        <f t="shared" si="3"/>
        <v>1304.3966132099999</v>
      </c>
      <c r="W20" s="28">
        <f t="shared" si="4"/>
        <v>47.817555369999994</v>
      </c>
      <c r="X20" s="28">
        <f t="shared" si="4"/>
        <v>1257.2905245100001</v>
      </c>
      <c r="Y20" s="28">
        <f t="shared" si="4"/>
        <v>889.92551114000003</v>
      </c>
      <c r="Z20" s="28">
        <f t="shared" si="4"/>
        <v>202.02694713999998</v>
      </c>
      <c r="AA20" s="28">
        <f t="shared" si="4"/>
        <v>165.33806622999998</v>
      </c>
      <c r="AB20" s="29">
        <f t="shared" si="10"/>
        <v>98.946507944578983</v>
      </c>
      <c r="AC20" s="29">
        <f t="shared" si="10"/>
        <v>95.871529932814298</v>
      </c>
      <c r="AD20" s="29">
        <f t="shared" si="10"/>
        <v>99.067945911583891</v>
      </c>
      <c r="AE20" s="29">
        <f t="shared" si="10"/>
        <v>100.46353554825816</v>
      </c>
      <c r="AF20" s="29">
        <f t="shared" si="10"/>
        <v>107.04725290599012</v>
      </c>
      <c r="AG20" s="42">
        <f t="shared" si="10"/>
        <v>84.974783759980383</v>
      </c>
      <c r="AH20" s="239"/>
      <c r="AI20" s="7">
        <f t="shared" si="8"/>
        <v>-0.7114666700001635</v>
      </c>
    </row>
    <row r="21" spans="1:37" x14ac:dyDescent="0.25">
      <c r="A21" s="38" t="s">
        <v>87</v>
      </c>
      <c r="B21" s="25">
        <v>638767000</v>
      </c>
      <c r="C21" s="25">
        <v>0</v>
      </c>
      <c r="D21" s="25">
        <v>497075200</v>
      </c>
      <c r="E21" s="39">
        <f t="shared" si="6"/>
        <v>141691800</v>
      </c>
      <c r="F21" s="25">
        <v>97148100</v>
      </c>
      <c r="G21" s="25">
        <v>44543700</v>
      </c>
      <c r="H21" s="25">
        <v>0</v>
      </c>
      <c r="I21" s="25">
        <v>506500168.64999998</v>
      </c>
      <c r="J21" s="25">
        <v>0</v>
      </c>
      <c r="K21" s="25">
        <v>372508687.33999997</v>
      </c>
      <c r="L21" s="39">
        <f t="shared" si="7"/>
        <v>133991481.31</v>
      </c>
      <c r="M21" s="25">
        <v>91111124.140000001</v>
      </c>
      <c r="N21" s="25">
        <v>42880357.170000002</v>
      </c>
      <c r="O21" s="25">
        <v>0</v>
      </c>
      <c r="P21" s="28">
        <f t="shared" si="2"/>
        <v>638.76700000000005</v>
      </c>
      <c r="Q21" s="28">
        <f t="shared" si="3"/>
        <v>497.0752</v>
      </c>
      <c r="R21" s="28">
        <f t="shared" si="3"/>
        <v>141.6918</v>
      </c>
      <c r="S21" s="28">
        <f t="shared" si="3"/>
        <v>97.148099999999999</v>
      </c>
      <c r="T21" s="28">
        <f t="shared" si="3"/>
        <v>44.543700000000001</v>
      </c>
      <c r="U21" s="28">
        <f t="shared" si="3"/>
        <v>0</v>
      </c>
      <c r="V21" s="28">
        <f t="shared" si="3"/>
        <v>506.50016864999998</v>
      </c>
      <c r="W21" s="28">
        <f t="shared" si="4"/>
        <v>372.50868733999999</v>
      </c>
      <c r="X21" s="28">
        <f t="shared" si="4"/>
        <v>133.99148131000001</v>
      </c>
      <c r="Y21" s="28">
        <f t="shared" si="4"/>
        <v>91.111124140000001</v>
      </c>
      <c r="Z21" s="28">
        <f t="shared" si="4"/>
        <v>42.880357170000003</v>
      </c>
      <c r="AA21" s="28">
        <f t="shared" si="4"/>
        <v>0</v>
      </c>
      <c r="AB21" s="29">
        <f t="shared" si="10"/>
        <v>79.293415071536245</v>
      </c>
      <c r="AC21" s="29">
        <f t="shared" si="10"/>
        <v>74.940107118600963</v>
      </c>
      <c r="AD21" s="29">
        <f t="shared" si="10"/>
        <v>94.565445078684874</v>
      </c>
      <c r="AE21" s="28">
        <f t="shared" si="10"/>
        <v>93.785801410423872</v>
      </c>
      <c r="AF21" s="29">
        <f t="shared" si="10"/>
        <v>96.265817994463859</v>
      </c>
      <c r="AG21" s="41" t="s">
        <v>82</v>
      </c>
      <c r="AH21" s="238"/>
      <c r="AI21" s="49">
        <f t="shared" si="8"/>
        <v>0</v>
      </c>
    </row>
    <row r="22" spans="1:37" ht="26.4" x14ac:dyDescent="0.25">
      <c r="A22" s="38" t="s">
        <v>88</v>
      </c>
      <c r="B22" s="25">
        <v>202518529.44999999</v>
      </c>
      <c r="C22" s="25">
        <v>0</v>
      </c>
      <c r="D22" s="25">
        <v>77441431.969999999</v>
      </c>
      <c r="E22" s="39">
        <f t="shared" si="6"/>
        <v>125077097.48</v>
      </c>
      <c r="F22" s="25">
        <v>55631874.210000001</v>
      </c>
      <c r="G22" s="25">
        <v>15641297.33</v>
      </c>
      <c r="H22" s="25">
        <v>53803925.939999998</v>
      </c>
      <c r="I22" s="25">
        <v>204467023.13</v>
      </c>
      <c r="J22" s="25">
        <v>0</v>
      </c>
      <c r="K22" s="25">
        <v>81202210.109999999</v>
      </c>
      <c r="L22" s="39">
        <f t="shared" si="7"/>
        <v>123264813.02000001</v>
      </c>
      <c r="M22" s="25">
        <v>58120725.200000003</v>
      </c>
      <c r="N22" s="25">
        <v>15113301.57</v>
      </c>
      <c r="O22" s="25">
        <v>50030786.25</v>
      </c>
      <c r="P22" s="28">
        <f t="shared" si="2"/>
        <v>202.51852944999999</v>
      </c>
      <c r="Q22" s="28">
        <f t="shared" si="3"/>
        <v>77.441431969999996</v>
      </c>
      <c r="R22" s="28">
        <f t="shared" si="3"/>
        <v>125.07709748000001</v>
      </c>
      <c r="S22" s="28">
        <f t="shared" si="3"/>
        <v>55.631874209999999</v>
      </c>
      <c r="T22" s="28">
        <f t="shared" si="3"/>
        <v>15.64129733</v>
      </c>
      <c r="U22" s="28">
        <f t="shared" si="3"/>
        <v>53.803925939999999</v>
      </c>
      <c r="V22" s="28">
        <f t="shared" si="3"/>
        <v>204.46702313</v>
      </c>
      <c r="W22" s="28">
        <f t="shared" si="4"/>
        <v>81.202210109999996</v>
      </c>
      <c r="X22" s="28">
        <f t="shared" si="4"/>
        <v>123.26481302000001</v>
      </c>
      <c r="Y22" s="28">
        <f t="shared" si="4"/>
        <v>58.120725200000003</v>
      </c>
      <c r="Z22" s="28">
        <f t="shared" si="4"/>
        <v>15.113301570000001</v>
      </c>
      <c r="AA22" s="28">
        <f t="shared" si="4"/>
        <v>50.030786249999998</v>
      </c>
      <c r="AB22" s="29">
        <f t="shared" si="10"/>
        <v>100.96213106291643</v>
      </c>
      <c r="AC22" s="29">
        <f t="shared" si="10"/>
        <v>104.85628693107958</v>
      </c>
      <c r="AD22" s="28">
        <f t="shared" si="10"/>
        <v>98.551066105215796</v>
      </c>
      <c r="AE22" s="29">
        <f t="shared" si="10"/>
        <v>104.4737859821243</v>
      </c>
      <c r="AF22" s="28">
        <f t="shared" si="10"/>
        <v>96.624348039294006</v>
      </c>
      <c r="AG22" s="42">
        <f t="shared" si="10"/>
        <v>92.98724094184567</v>
      </c>
      <c r="AH22" s="239"/>
      <c r="AI22" s="7">
        <f t="shared" si="8"/>
        <v>0</v>
      </c>
    </row>
    <row r="23" spans="1:37" x14ac:dyDescent="0.25">
      <c r="A23" s="38" t="s">
        <v>89</v>
      </c>
      <c r="B23" s="25">
        <v>865167377.83000004</v>
      </c>
      <c r="C23" s="25">
        <v>0</v>
      </c>
      <c r="D23" s="25">
        <v>1400000</v>
      </c>
      <c r="E23" s="39">
        <f t="shared" si="6"/>
        <v>863767377.83000004</v>
      </c>
      <c r="F23" s="25">
        <v>649367011</v>
      </c>
      <c r="G23" s="25">
        <v>116200176.33</v>
      </c>
      <c r="H23" s="25">
        <v>98200190.5</v>
      </c>
      <c r="I23" s="25">
        <v>937081641.48000002</v>
      </c>
      <c r="J23" s="25">
        <v>0</v>
      </c>
      <c r="K23" s="25">
        <v>5860077.8200000003</v>
      </c>
      <c r="L23" s="39">
        <f t="shared" si="7"/>
        <v>931221563.65999997</v>
      </c>
      <c r="M23" s="25">
        <v>745937709.70000005</v>
      </c>
      <c r="N23" s="25">
        <v>117745377.06</v>
      </c>
      <c r="O23" s="25">
        <v>67538476.900000006</v>
      </c>
      <c r="P23" s="28">
        <f t="shared" si="2"/>
        <v>865.16737783000008</v>
      </c>
      <c r="Q23" s="28">
        <f t="shared" si="3"/>
        <v>1.4</v>
      </c>
      <c r="R23" s="28">
        <f t="shared" si="3"/>
        <v>863.76737782999999</v>
      </c>
      <c r="S23" s="28">
        <f t="shared" si="3"/>
        <v>649.36701100000005</v>
      </c>
      <c r="T23" s="28">
        <f t="shared" si="3"/>
        <v>116.20017633000001</v>
      </c>
      <c r="U23" s="28">
        <f t="shared" si="3"/>
        <v>98.200190500000005</v>
      </c>
      <c r="V23" s="28">
        <f t="shared" si="3"/>
        <v>937.08164148000003</v>
      </c>
      <c r="W23" s="28">
        <f t="shared" si="4"/>
        <v>5.8600778199999999</v>
      </c>
      <c r="X23" s="28">
        <f t="shared" si="4"/>
        <v>931.22156366000002</v>
      </c>
      <c r="Y23" s="28">
        <f t="shared" si="4"/>
        <v>745.93770970000003</v>
      </c>
      <c r="Z23" s="28">
        <f t="shared" si="4"/>
        <v>117.74537706</v>
      </c>
      <c r="AA23" s="28">
        <f t="shared" si="4"/>
        <v>67.538476900000006</v>
      </c>
      <c r="AB23" s="29">
        <f t="shared" si="10"/>
        <v>108.31217929533753</v>
      </c>
      <c r="AC23" s="29">
        <f t="shared" si="10"/>
        <v>418.57698714285721</v>
      </c>
      <c r="AD23" s="29">
        <f>X23/R23%</f>
        <v>107.8092999992037</v>
      </c>
      <c r="AE23" s="29">
        <f>Y23/S23%</f>
        <v>114.87151288318218</v>
      </c>
      <c r="AF23" s="29">
        <f>Z23/T23%</f>
        <v>101.32977485818242</v>
      </c>
      <c r="AG23" s="42">
        <f>AA23/U23%</f>
        <v>68.776319634532683</v>
      </c>
      <c r="AH23" s="239"/>
      <c r="AI23" s="7">
        <f t="shared" si="8"/>
        <v>0</v>
      </c>
    </row>
    <row r="24" spans="1:37" x14ac:dyDescent="0.25">
      <c r="A24" s="38" t="s">
        <v>47</v>
      </c>
      <c r="B24" s="25">
        <v>743950</v>
      </c>
      <c r="C24" s="25">
        <v>0</v>
      </c>
      <c r="D24" s="25">
        <v>650000</v>
      </c>
      <c r="E24" s="39">
        <f t="shared" si="6"/>
        <v>93950</v>
      </c>
      <c r="F24" s="25">
        <v>0</v>
      </c>
      <c r="G24" s="25">
        <v>0</v>
      </c>
      <c r="H24" s="25">
        <v>93950</v>
      </c>
      <c r="I24" s="25">
        <v>987685.55</v>
      </c>
      <c r="J24" s="25">
        <v>0</v>
      </c>
      <c r="K24" s="25">
        <v>878957.14</v>
      </c>
      <c r="L24" s="39">
        <f t="shared" si="7"/>
        <v>108728.41</v>
      </c>
      <c r="M24" s="25">
        <v>0</v>
      </c>
      <c r="N24" s="25">
        <v>0</v>
      </c>
      <c r="O24" s="25">
        <v>108728.41</v>
      </c>
      <c r="P24" s="28">
        <f t="shared" si="2"/>
        <v>0.74395</v>
      </c>
      <c r="Q24" s="28">
        <f t="shared" si="3"/>
        <v>0.65</v>
      </c>
      <c r="R24" s="28">
        <f t="shared" si="3"/>
        <v>9.3950000000000006E-2</v>
      </c>
      <c r="S24" s="28">
        <f t="shared" si="3"/>
        <v>0</v>
      </c>
      <c r="T24" s="28">
        <f t="shared" si="3"/>
        <v>0</v>
      </c>
      <c r="U24" s="28">
        <f t="shared" si="3"/>
        <v>9.3950000000000006E-2</v>
      </c>
      <c r="V24" s="28">
        <f t="shared" si="3"/>
        <v>0.98768555000000002</v>
      </c>
      <c r="W24" s="28">
        <f t="shared" si="4"/>
        <v>0.87895714000000003</v>
      </c>
      <c r="X24" s="28">
        <f t="shared" si="4"/>
        <v>0.10872841</v>
      </c>
      <c r="Y24" s="28">
        <f t="shared" si="4"/>
        <v>0</v>
      </c>
      <c r="Z24" s="28">
        <f t="shared" si="4"/>
        <v>0</v>
      </c>
      <c r="AA24" s="28">
        <f t="shared" si="4"/>
        <v>0.10872841</v>
      </c>
      <c r="AB24" s="28">
        <f t="shared" si="10"/>
        <v>132.76235634115196</v>
      </c>
      <c r="AC24" s="28">
        <f t="shared" si="10"/>
        <v>135.22417538461536</v>
      </c>
      <c r="AD24" s="28">
        <f>X24/R24%</f>
        <v>115.73007982969665</v>
      </c>
      <c r="AE24" s="40" t="s">
        <v>82</v>
      </c>
      <c r="AF24" s="40" t="s">
        <v>82</v>
      </c>
      <c r="AG24" s="30">
        <f>AA24/U24%</f>
        <v>115.73007982969665</v>
      </c>
      <c r="AH24" s="236"/>
      <c r="AI24" s="7">
        <f t="shared" si="8"/>
        <v>0</v>
      </c>
    </row>
    <row r="25" spans="1:37" x14ac:dyDescent="0.25">
      <c r="A25" s="38" t="s">
        <v>90</v>
      </c>
      <c r="B25" s="25">
        <v>634825376.32000005</v>
      </c>
      <c r="C25" s="25">
        <v>0</v>
      </c>
      <c r="D25" s="25">
        <v>485604100</v>
      </c>
      <c r="E25" s="39">
        <f t="shared" si="6"/>
        <v>149221276.31999999</v>
      </c>
      <c r="F25" s="25">
        <v>106000340</v>
      </c>
      <c r="G25" s="25">
        <v>35700074</v>
      </c>
      <c r="H25" s="25">
        <v>7520862.3200000003</v>
      </c>
      <c r="I25" s="25">
        <v>674725266.50999999</v>
      </c>
      <c r="J25" s="25">
        <v>0</v>
      </c>
      <c r="K25" s="25">
        <v>493644005.31</v>
      </c>
      <c r="L25" s="39">
        <f t="shared" si="7"/>
        <v>181081261.19999999</v>
      </c>
      <c r="M25" s="25">
        <v>133057385.16</v>
      </c>
      <c r="N25" s="25">
        <v>39297494.590000004</v>
      </c>
      <c r="O25" s="25">
        <v>8726381.4499999993</v>
      </c>
      <c r="P25" s="28">
        <f t="shared" si="2"/>
        <v>634.82537632000003</v>
      </c>
      <c r="Q25" s="28">
        <f t="shared" si="3"/>
        <v>485.60410000000002</v>
      </c>
      <c r="R25" s="28">
        <f t="shared" si="3"/>
        <v>149.22127631999999</v>
      </c>
      <c r="S25" s="28">
        <f t="shared" si="3"/>
        <v>106.00033999999999</v>
      </c>
      <c r="T25" s="28">
        <f t="shared" si="3"/>
        <v>35.700074000000001</v>
      </c>
      <c r="U25" s="28">
        <f t="shared" si="3"/>
        <v>7.52086232</v>
      </c>
      <c r="V25" s="28">
        <f t="shared" si="3"/>
        <v>674.72526650999998</v>
      </c>
      <c r="W25" s="28">
        <f t="shared" si="4"/>
        <v>493.64400531000001</v>
      </c>
      <c r="X25" s="28">
        <f t="shared" si="4"/>
        <v>181.0812612</v>
      </c>
      <c r="Y25" s="28">
        <f t="shared" si="4"/>
        <v>133.05738516</v>
      </c>
      <c r="Z25" s="28">
        <f t="shared" si="4"/>
        <v>39.297494590000007</v>
      </c>
      <c r="AA25" s="28">
        <f t="shared" si="4"/>
        <v>8.7263814499999999</v>
      </c>
      <c r="AB25" s="28">
        <f t="shared" si="10"/>
        <v>106.28517568426366</v>
      </c>
      <c r="AC25" s="28">
        <f t="shared" si="10"/>
        <v>101.65565021176715</v>
      </c>
      <c r="AD25" s="28">
        <f t="shared" si="10"/>
        <v>121.35083257944889</v>
      </c>
      <c r="AE25" s="28">
        <f t="shared" si="10"/>
        <v>125.52543242785823</v>
      </c>
      <c r="AF25" s="28">
        <f t="shared" si="10"/>
        <v>110.07678748789151</v>
      </c>
      <c r="AG25" s="30">
        <f t="shared" si="10"/>
        <v>116.02900144567464</v>
      </c>
      <c r="AH25" s="236"/>
      <c r="AI25" s="7">
        <f t="shared" si="8"/>
        <v>0</v>
      </c>
    </row>
    <row r="26" spans="1:37" x14ac:dyDescent="0.25">
      <c r="A26" s="38" t="s">
        <v>48</v>
      </c>
      <c r="B26" s="25">
        <v>33870320.149999999</v>
      </c>
      <c r="C26" s="25">
        <v>0</v>
      </c>
      <c r="D26" s="25">
        <v>0</v>
      </c>
      <c r="E26" s="39">
        <f t="shared" si="6"/>
        <v>33870320.149999999</v>
      </c>
      <c r="F26" s="25">
        <v>27937300</v>
      </c>
      <c r="G26" s="25">
        <v>0</v>
      </c>
      <c r="H26" s="25">
        <v>5933020.1500000004</v>
      </c>
      <c r="I26" s="32">
        <v>15560524.710000001</v>
      </c>
      <c r="J26" s="32">
        <v>0</v>
      </c>
      <c r="K26" s="32">
        <v>174765.68</v>
      </c>
      <c r="L26" s="39">
        <f t="shared" si="7"/>
        <v>15385759.030000001</v>
      </c>
      <c r="M26" s="25">
        <v>9190078.5500000007</v>
      </c>
      <c r="N26" s="25">
        <v>59170.97</v>
      </c>
      <c r="O26" s="25">
        <v>6136509.5099999998</v>
      </c>
      <c r="P26" s="28">
        <f t="shared" si="2"/>
        <v>33.870320149999998</v>
      </c>
      <c r="Q26" s="28">
        <f t="shared" ref="Q26:V38" si="11">D26/1000000</f>
        <v>0</v>
      </c>
      <c r="R26" s="28">
        <f t="shared" si="11"/>
        <v>33.870320149999998</v>
      </c>
      <c r="S26" s="28">
        <f t="shared" si="11"/>
        <v>27.9373</v>
      </c>
      <c r="T26" s="28">
        <f t="shared" si="11"/>
        <v>0</v>
      </c>
      <c r="U26" s="28">
        <f t="shared" si="11"/>
        <v>5.9330201499999999</v>
      </c>
      <c r="V26" s="28">
        <f t="shared" si="11"/>
        <v>15.560524710000001</v>
      </c>
      <c r="W26" s="28">
        <f t="shared" si="4"/>
        <v>0.17476568000000001</v>
      </c>
      <c r="X26" s="50">
        <f t="shared" si="4"/>
        <v>15.385759030000001</v>
      </c>
      <c r="Y26" s="28">
        <f t="shared" si="4"/>
        <v>9.1900785500000008</v>
      </c>
      <c r="Z26" s="28">
        <f t="shared" si="4"/>
        <v>5.9170970000000003E-2</v>
      </c>
      <c r="AA26" s="28">
        <f t="shared" si="4"/>
        <v>6.1365095099999998</v>
      </c>
      <c r="AB26" s="28">
        <f t="shared" si="10"/>
        <v>45.941475135421776</v>
      </c>
      <c r="AC26" s="51" t="s">
        <v>82</v>
      </c>
      <c r="AD26" s="28">
        <f>X26/R26%</f>
        <v>45.425490405351248</v>
      </c>
      <c r="AE26" s="28">
        <f>Y26/S26%</f>
        <v>32.895371242031267</v>
      </c>
      <c r="AF26" s="51" t="s">
        <v>82</v>
      </c>
      <c r="AG26" s="30">
        <f>AA26/U26%</f>
        <v>103.42977699140293</v>
      </c>
      <c r="AH26" s="236"/>
      <c r="AI26" s="52">
        <f t="shared" si="8"/>
        <v>0</v>
      </c>
      <c r="AJ26" s="52">
        <f>AI26*1000</f>
        <v>0</v>
      </c>
    </row>
    <row r="27" spans="1:37" s="59" customFormat="1" ht="12.75" hidden="1" x14ac:dyDescent="0.2">
      <c r="A27" s="53" t="s">
        <v>91</v>
      </c>
      <c r="B27" s="54">
        <v>1800</v>
      </c>
      <c r="C27" s="54">
        <v>0</v>
      </c>
      <c r="D27" s="54">
        <v>0</v>
      </c>
      <c r="E27" s="54">
        <f>F27+G27+H27</f>
        <v>1800</v>
      </c>
      <c r="F27" s="54">
        <v>1000</v>
      </c>
      <c r="G27" s="54">
        <v>0</v>
      </c>
      <c r="H27" s="54">
        <v>800</v>
      </c>
      <c r="I27" s="54">
        <v>-545374.47</v>
      </c>
      <c r="J27" s="54">
        <v>0</v>
      </c>
      <c r="K27" s="54">
        <v>165283.49</v>
      </c>
      <c r="L27" s="55">
        <f>M27+N27+O27</f>
        <v>-710657.96</v>
      </c>
      <c r="M27" s="54">
        <v>-34393.800000000003</v>
      </c>
      <c r="N27" s="54">
        <v>-39899.42</v>
      </c>
      <c r="O27" s="54">
        <v>-636364.74</v>
      </c>
      <c r="P27" s="56">
        <f t="shared" si="2"/>
        <v>1.8E-3</v>
      </c>
      <c r="Q27" s="56"/>
      <c r="R27" s="56">
        <f t="shared" si="11"/>
        <v>1.8E-3</v>
      </c>
      <c r="S27" s="56">
        <f t="shared" si="11"/>
        <v>1E-3</v>
      </c>
      <c r="T27" s="56"/>
      <c r="U27" s="56">
        <f>H27/1000000</f>
        <v>8.0000000000000004E-4</v>
      </c>
      <c r="V27" s="56">
        <f t="shared" si="11"/>
        <v>-0.54537446999999994</v>
      </c>
      <c r="W27" s="56">
        <f t="shared" si="4"/>
        <v>0.16528348999999998</v>
      </c>
      <c r="X27" s="56">
        <f t="shared" si="4"/>
        <v>-0.71065795999999992</v>
      </c>
      <c r="Y27" s="56">
        <f t="shared" si="4"/>
        <v>-3.4393800000000002E-2</v>
      </c>
      <c r="Z27" s="56">
        <f t="shared" si="4"/>
        <v>-3.9899419999999998E-2</v>
      </c>
      <c r="AA27" s="56">
        <f t="shared" si="4"/>
        <v>-0.63636473999999998</v>
      </c>
      <c r="AB27" s="56"/>
      <c r="AC27" s="56"/>
      <c r="AD27" s="56"/>
      <c r="AE27" s="56"/>
      <c r="AF27" s="56"/>
      <c r="AG27" s="57"/>
      <c r="AH27" s="240"/>
      <c r="AI27" s="58">
        <f t="shared" si="8"/>
        <v>0</v>
      </c>
      <c r="AJ27" s="59">
        <f>AI27*1000</f>
        <v>0</v>
      </c>
    </row>
    <row r="28" spans="1:37" s="67" customFormat="1" ht="25.5" hidden="1" x14ac:dyDescent="0.2">
      <c r="A28" s="60" t="s">
        <v>92</v>
      </c>
      <c r="B28" s="61"/>
      <c r="C28" s="61"/>
      <c r="D28" s="61"/>
      <c r="E28" s="62">
        <f>F28+G28+H28</f>
        <v>0</v>
      </c>
      <c r="F28" s="61"/>
      <c r="G28" s="61"/>
      <c r="H28" s="61"/>
      <c r="I28" s="61"/>
      <c r="J28" s="61"/>
      <c r="K28" s="61"/>
      <c r="L28" s="63">
        <f>M28+N28+O28</f>
        <v>0</v>
      </c>
      <c r="M28" s="61"/>
      <c r="N28" s="61"/>
      <c r="O28" s="61"/>
      <c r="P28" s="64">
        <f t="shared" si="2"/>
        <v>0</v>
      </c>
      <c r="Q28" s="64">
        <f t="shared" ref="Q28:Q37" si="12">D28/1000000</f>
        <v>0</v>
      </c>
      <c r="R28" s="64">
        <f t="shared" si="11"/>
        <v>0</v>
      </c>
      <c r="S28" s="64">
        <f t="shared" si="11"/>
        <v>0</v>
      </c>
      <c r="T28" s="64">
        <f t="shared" si="11"/>
        <v>0</v>
      </c>
      <c r="U28" s="64">
        <f t="shared" si="11"/>
        <v>0</v>
      </c>
      <c r="V28" s="64">
        <f t="shared" si="11"/>
        <v>0</v>
      </c>
      <c r="W28" s="64">
        <f t="shared" si="4"/>
        <v>0</v>
      </c>
      <c r="X28" s="64">
        <f t="shared" si="4"/>
        <v>0</v>
      </c>
      <c r="Y28" s="64">
        <f t="shared" si="4"/>
        <v>0</v>
      </c>
      <c r="Z28" s="64">
        <f t="shared" si="4"/>
        <v>0</v>
      </c>
      <c r="AA28" s="64">
        <f t="shared" si="4"/>
        <v>0</v>
      </c>
      <c r="AB28" s="64" t="e">
        <f t="shared" ref="AB28" si="13">V28/P28%</f>
        <v>#DIV/0!</v>
      </c>
      <c r="AC28" s="64"/>
      <c r="AD28" s="64" t="e">
        <f t="shared" ref="AD28:AE28" si="14">X28/R28%</f>
        <v>#DIV/0!</v>
      </c>
      <c r="AE28" s="64" t="e">
        <f t="shared" si="14"/>
        <v>#DIV/0!</v>
      </c>
      <c r="AF28" s="64"/>
      <c r="AG28" s="65"/>
      <c r="AH28" s="97"/>
      <c r="AI28" s="66"/>
    </row>
    <row r="29" spans="1:37" s="37" customFormat="1" x14ac:dyDescent="0.25">
      <c r="A29" s="31" t="s">
        <v>93</v>
      </c>
      <c r="B29" s="32">
        <v>18987130302.709999</v>
      </c>
      <c r="C29" s="32">
        <v>26004401000.549999</v>
      </c>
      <c r="D29" s="32">
        <v>19039467186.849998</v>
      </c>
      <c r="E29" s="68">
        <f>F29+G29+H29-E110</f>
        <v>22182965301.849998</v>
      </c>
      <c r="F29" s="32">
        <v>8763401595.1200008</v>
      </c>
      <c r="G29" s="32">
        <v>13564076445.09</v>
      </c>
      <c r="H29" s="32">
        <v>3624586076.1999998</v>
      </c>
      <c r="I29" s="32">
        <v>19120787887.849998</v>
      </c>
      <c r="J29" s="32">
        <v>24549038166.32</v>
      </c>
      <c r="K29" s="32">
        <v>19215443895</v>
      </c>
      <c r="L29" s="68">
        <f>M29+N29+O29-L110</f>
        <v>21333560346.98</v>
      </c>
      <c r="M29" s="32">
        <v>8506432424.2299995</v>
      </c>
      <c r="N29" s="32">
        <v>12966188553.549999</v>
      </c>
      <c r="O29" s="32">
        <v>2981761181.3899999</v>
      </c>
      <c r="P29" s="34">
        <f t="shared" si="2"/>
        <v>18987.13030271</v>
      </c>
      <c r="Q29" s="34">
        <f t="shared" si="12"/>
        <v>19039.467186849997</v>
      </c>
      <c r="R29" s="34">
        <f t="shared" si="11"/>
        <v>22182.965301849999</v>
      </c>
      <c r="S29" s="34">
        <f t="shared" si="11"/>
        <v>8763.4015951200017</v>
      </c>
      <c r="T29" s="34">
        <f t="shared" si="11"/>
        <v>13564.076445090001</v>
      </c>
      <c r="U29" s="34">
        <f t="shared" si="11"/>
        <v>3624.5860761999998</v>
      </c>
      <c r="V29" s="34">
        <f t="shared" si="11"/>
        <v>19120.787887849998</v>
      </c>
      <c r="W29" s="34">
        <f t="shared" si="4"/>
        <v>19215.443895</v>
      </c>
      <c r="X29" s="34">
        <f t="shared" si="4"/>
        <v>21333.560346980001</v>
      </c>
      <c r="Y29" s="34">
        <f t="shared" si="4"/>
        <v>8506.432424229999</v>
      </c>
      <c r="Z29" s="34">
        <f t="shared" si="4"/>
        <v>12966.188553549999</v>
      </c>
      <c r="AA29" s="34">
        <f t="shared" si="4"/>
        <v>2981.7611813899998</v>
      </c>
      <c r="AB29" s="34">
        <f t="shared" si="10"/>
        <v>100.7039377884341</v>
      </c>
      <c r="AC29" s="34">
        <f t="shared" si="10"/>
        <v>100.92427328151044</v>
      </c>
      <c r="AD29" s="34">
        <f t="shared" si="10"/>
        <v>96.170913386412053</v>
      </c>
      <c r="AE29" s="34">
        <f t="shared" si="10"/>
        <v>97.067700617154202</v>
      </c>
      <c r="AF29" s="34">
        <f t="shared" si="10"/>
        <v>95.592122368519767</v>
      </c>
      <c r="AG29" s="35">
        <f t="shared" si="10"/>
        <v>82.264874352661678</v>
      </c>
      <c r="AH29" s="237"/>
      <c r="AI29" s="69">
        <f>V29-W29-X29</f>
        <v>-21428.216354130003</v>
      </c>
      <c r="AJ29" s="37">
        <f>AI29*1000</f>
        <v>-21428216.354130004</v>
      </c>
    </row>
    <row r="30" spans="1:37" s="77" customFormat="1" ht="12.75" hidden="1" x14ac:dyDescent="0.2">
      <c r="A30" s="60" t="s">
        <v>94</v>
      </c>
      <c r="B30" s="70"/>
      <c r="C30" s="70"/>
      <c r="D30" s="70"/>
      <c r="E30" s="71"/>
      <c r="F30" s="70"/>
      <c r="G30" s="70"/>
      <c r="H30" s="70"/>
      <c r="I30" s="72"/>
      <c r="J30" s="72"/>
      <c r="K30" s="72"/>
      <c r="L30" s="71"/>
      <c r="M30" s="70"/>
      <c r="N30" s="70"/>
      <c r="O30" s="70"/>
      <c r="P30" s="64">
        <f>B30/1000000</f>
        <v>0</v>
      </c>
      <c r="Q30" s="64">
        <f t="shared" si="12"/>
        <v>0</v>
      </c>
      <c r="R30" s="64">
        <f>E30/1000000</f>
        <v>0</v>
      </c>
      <c r="S30" s="64">
        <f>F30/1000000</f>
        <v>0</v>
      </c>
      <c r="T30" s="64">
        <f>G30/1000000</f>
        <v>0</v>
      </c>
      <c r="U30" s="64">
        <f>H30/1000000</f>
        <v>0</v>
      </c>
      <c r="V30" s="64">
        <f>I30/1000000</f>
        <v>0</v>
      </c>
      <c r="W30" s="64">
        <f>K30/1000000</f>
        <v>0</v>
      </c>
      <c r="X30" s="64">
        <f>L30/1000000</f>
        <v>0</v>
      </c>
      <c r="Y30" s="64">
        <f>M30/1000000</f>
        <v>0</v>
      </c>
      <c r="Z30" s="64">
        <f>N30/1000000</f>
        <v>0</v>
      </c>
      <c r="AA30" s="64">
        <f>O30/1000000</f>
        <v>0</v>
      </c>
      <c r="AB30" s="73" t="s">
        <v>82</v>
      </c>
      <c r="AC30" s="73" t="s">
        <v>82</v>
      </c>
      <c r="AD30" s="73" t="s">
        <v>82</v>
      </c>
      <c r="AE30" s="73" t="s">
        <v>82</v>
      </c>
      <c r="AF30" s="73" t="s">
        <v>82</v>
      </c>
      <c r="AG30" s="74" t="s">
        <v>82</v>
      </c>
      <c r="AH30" s="241"/>
      <c r="AI30" s="75"/>
      <c r="AJ30" s="76"/>
    </row>
    <row r="31" spans="1:37" x14ac:dyDescent="0.25">
      <c r="A31" s="38" t="s">
        <v>95</v>
      </c>
      <c r="B31" s="25">
        <v>16987568434.879999</v>
      </c>
      <c r="C31" s="25">
        <v>26004401000.549999</v>
      </c>
      <c r="D31" s="25">
        <v>16987172459.120001</v>
      </c>
      <c r="E31" s="78">
        <f>F31+G31+H31-G110-H110</f>
        <v>22235698161.75</v>
      </c>
      <c r="F31" s="47">
        <v>8899201603.0100002</v>
      </c>
      <c r="G31" s="47">
        <v>13446788521.440001</v>
      </c>
      <c r="H31" s="47">
        <v>3658806851.8600001</v>
      </c>
      <c r="I31" s="32">
        <v>17827215224.189999</v>
      </c>
      <c r="J31" s="32">
        <v>24549038166.32</v>
      </c>
      <c r="K31" s="32">
        <v>17827215224.189999</v>
      </c>
      <c r="L31" s="78">
        <f>M31+N31+O31-N110-O110</f>
        <v>21428216354.130001</v>
      </c>
      <c r="M31" s="25">
        <v>8687610623.0400009</v>
      </c>
      <c r="N31" s="25">
        <v>12848836455.93</v>
      </c>
      <c r="O31" s="25">
        <v>3012591087.3499999</v>
      </c>
      <c r="P31" s="28">
        <f t="shared" si="2"/>
        <v>16987.568434879999</v>
      </c>
      <c r="Q31" s="28">
        <f t="shared" si="12"/>
        <v>16987.17245912</v>
      </c>
      <c r="R31" s="28">
        <f t="shared" si="11"/>
        <v>22235.698161749999</v>
      </c>
      <c r="S31" s="28">
        <f t="shared" si="11"/>
        <v>8899.2016030100003</v>
      </c>
      <c r="T31" s="28">
        <f t="shared" si="11"/>
        <v>13446.788521440001</v>
      </c>
      <c r="U31" s="28">
        <f t="shared" si="11"/>
        <v>3658.8068518600003</v>
      </c>
      <c r="V31" s="28">
        <f t="shared" si="11"/>
        <v>17827.21522419</v>
      </c>
      <c r="W31" s="28">
        <f t="shared" si="4"/>
        <v>17827.21522419</v>
      </c>
      <c r="X31" s="28">
        <f t="shared" si="4"/>
        <v>21428.21635413</v>
      </c>
      <c r="Y31" s="28">
        <f t="shared" si="4"/>
        <v>8687.6106230400001</v>
      </c>
      <c r="Z31" s="28">
        <f t="shared" si="4"/>
        <v>12848.836455930001</v>
      </c>
      <c r="AA31" s="28">
        <f t="shared" si="4"/>
        <v>3012.5910873499997</v>
      </c>
      <c r="AB31" s="28">
        <f t="shared" si="10"/>
        <v>104.9427132113033</v>
      </c>
      <c r="AC31" s="28">
        <f t="shared" si="10"/>
        <v>104.94515945541602</v>
      </c>
      <c r="AD31" s="28">
        <f t="shared" si="10"/>
        <v>96.368534049409632</v>
      </c>
      <c r="AE31" s="28">
        <f t="shared" si="10"/>
        <v>97.62235996655663</v>
      </c>
      <c r="AF31" s="28">
        <f t="shared" si="10"/>
        <v>95.553197965769996</v>
      </c>
      <c r="AG31" s="30">
        <f t="shared" si="10"/>
        <v>82.338073840069242</v>
      </c>
      <c r="AH31" s="236"/>
      <c r="AI31" s="49">
        <f>V31-W31-X31</f>
        <v>-21428.21635413</v>
      </c>
      <c r="AJ31" s="7">
        <f>AI31*1000</f>
        <v>-21428216.35413</v>
      </c>
      <c r="AK31" s="9">
        <f>AJ31-J31</f>
        <v>-24570466382.674129</v>
      </c>
    </row>
    <row r="32" spans="1:37" ht="26.4" x14ac:dyDescent="0.25">
      <c r="A32" s="38" t="s">
        <v>96</v>
      </c>
      <c r="B32" s="25">
        <v>2058375008.77</v>
      </c>
      <c r="C32" s="25">
        <v>0</v>
      </c>
      <c r="D32" s="25">
        <v>2056624648.77</v>
      </c>
      <c r="E32" s="78">
        <f>F32+G32+H32</f>
        <v>1750360</v>
      </c>
      <c r="F32" s="47">
        <v>1671360</v>
      </c>
      <c r="G32" s="47">
        <v>0</v>
      </c>
      <c r="H32" s="47">
        <v>79000</v>
      </c>
      <c r="I32" s="32">
        <v>1268192543.96</v>
      </c>
      <c r="J32" s="32">
        <v>0</v>
      </c>
      <c r="K32" s="32">
        <v>1266442183.96</v>
      </c>
      <c r="L32" s="78">
        <f>M32+N32+O32</f>
        <v>1750360</v>
      </c>
      <c r="M32" s="25">
        <v>1671360</v>
      </c>
      <c r="N32" s="25">
        <v>0</v>
      </c>
      <c r="O32" s="25">
        <v>79000</v>
      </c>
      <c r="P32" s="28">
        <f>B32/1000000</f>
        <v>2058.37500877</v>
      </c>
      <c r="Q32" s="28">
        <f t="shared" si="12"/>
        <v>2056.62464877</v>
      </c>
      <c r="R32" s="28">
        <f t="shared" si="11"/>
        <v>1.7503599999999999</v>
      </c>
      <c r="S32" s="28">
        <f t="shared" si="11"/>
        <v>1.67136</v>
      </c>
      <c r="T32" s="28">
        <f t="shared" si="11"/>
        <v>0</v>
      </c>
      <c r="U32" s="28">
        <f t="shared" si="11"/>
        <v>7.9000000000000001E-2</v>
      </c>
      <c r="V32" s="28">
        <f t="shared" si="11"/>
        <v>1268.19254396</v>
      </c>
      <c r="W32" s="28">
        <f t="shared" si="4"/>
        <v>1266.44218396</v>
      </c>
      <c r="X32" s="28">
        <f t="shared" si="4"/>
        <v>1.7503599999999999</v>
      </c>
      <c r="Y32" s="28">
        <f t="shared" si="4"/>
        <v>1.67136</v>
      </c>
      <c r="Z32" s="28">
        <f t="shared" si="4"/>
        <v>0</v>
      </c>
      <c r="AA32" s="28">
        <f t="shared" si="4"/>
        <v>7.9000000000000001E-2</v>
      </c>
      <c r="AB32" s="28">
        <f>V32/P32%</f>
        <v>61.611345773082405</v>
      </c>
      <c r="AC32" s="28">
        <f>W32/Q32%</f>
        <v>61.578673809896117</v>
      </c>
      <c r="AD32" s="28">
        <f t="shared" si="10"/>
        <v>100.00000000000001</v>
      </c>
      <c r="AE32" s="28">
        <f t="shared" si="10"/>
        <v>100</v>
      </c>
      <c r="AF32" s="51" t="s">
        <v>82</v>
      </c>
      <c r="AG32" s="30">
        <f t="shared" si="10"/>
        <v>100</v>
      </c>
      <c r="AH32" s="236"/>
      <c r="AI32" s="49">
        <f>V32-W32-X32</f>
        <v>0</v>
      </c>
      <c r="AJ32" s="7">
        <f t="shared" ref="AJ32:AJ38" si="15">AI32*1000</f>
        <v>0</v>
      </c>
    </row>
    <row r="33" spans="1:37" s="79" customFormat="1" ht="26.4" x14ac:dyDescent="0.25">
      <c r="A33" s="38" t="s">
        <v>97</v>
      </c>
      <c r="B33" s="25">
        <v>106707349</v>
      </c>
      <c r="C33" s="25">
        <v>0</v>
      </c>
      <c r="D33" s="25">
        <v>0</v>
      </c>
      <c r="E33" s="78">
        <f>F33+G33+H33</f>
        <v>106707349</v>
      </c>
      <c r="F33" s="47">
        <v>0</v>
      </c>
      <c r="G33" s="47">
        <v>106588349</v>
      </c>
      <c r="H33" s="47">
        <v>119000</v>
      </c>
      <c r="I33" s="25">
        <v>106707349</v>
      </c>
      <c r="J33" s="25">
        <v>0</v>
      </c>
      <c r="K33" s="25">
        <v>0</v>
      </c>
      <c r="L33" s="78">
        <f>M33+N33+O33</f>
        <v>106707349</v>
      </c>
      <c r="M33" s="25">
        <v>0</v>
      </c>
      <c r="N33" s="25">
        <v>106588349</v>
      </c>
      <c r="O33" s="25">
        <v>119000</v>
      </c>
      <c r="P33" s="29">
        <f>B33/1000000</f>
        <v>106.70734899999999</v>
      </c>
      <c r="Q33" s="29">
        <f t="shared" si="12"/>
        <v>0</v>
      </c>
      <c r="R33" s="29">
        <f>E33/1000000</f>
        <v>106.70734899999999</v>
      </c>
      <c r="S33" s="29">
        <f>F33/1000000</f>
        <v>0</v>
      </c>
      <c r="T33" s="29">
        <f>G33/1000000</f>
        <v>106.58834899999999</v>
      </c>
      <c r="U33" s="29">
        <f>H33/1000000</f>
        <v>0.11899999999999999</v>
      </c>
      <c r="V33" s="29">
        <f>I33/1000000</f>
        <v>106.70734899999999</v>
      </c>
      <c r="W33" s="29">
        <f t="shared" si="4"/>
        <v>0</v>
      </c>
      <c r="X33" s="29">
        <f t="shared" si="4"/>
        <v>106.70734899999999</v>
      </c>
      <c r="Y33" s="29">
        <f t="shared" si="4"/>
        <v>0</v>
      </c>
      <c r="Z33" s="29">
        <f t="shared" si="4"/>
        <v>106.58834899999999</v>
      </c>
      <c r="AA33" s="29">
        <f t="shared" si="4"/>
        <v>0.11899999999999999</v>
      </c>
      <c r="AB33" s="29">
        <f>V33/P33%</f>
        <v>100.00000000000001</v>
      </c>
      <c r="AC33" s="51" t="s">
        <v>82</v>
      </c>
      <c r="AD33" s="29">
        <f>X33/R33%</f>
        <v>100.00000000000001</v>
      </c>
      <c r="AE33" s="51" t="s">
        <v>82</v>
      </c>
      <c r="AF33" s="28">
        <f>Z33/T33%</f>
        <v>99.999999999999986</v>
      </c>
      <c r="AG33" s="30">
        <f t="shared" si="10"/>
        <v>100</v>
      </c>
      <c r="AH33" s="236"/>
      <c r="AI33" s="49">
        <f>V33-W33-X33</f>
        <v>0</v>
      </c>
      <c r="AJ33" s="7">
        <f t="shared" si="15"/>
        <v>0</v>
      </c>
    </row>
    <row r="34" spans="1:37" x14ac:dyDescent="0.25">
      <c r="A34" s="38" t="s">
        <v>98</v>
      </c>
      <c r="B34" s="25">
        <v>32974588.309999999</v>
      </c>
      <c r="C34" s="25">
        <v>0</v>
      </c>
      <c r="D34" s="25">
        <v>11100000</v>
      </c>
      <c r="E34" s="78">
        <f>F34+G34+H34</f>
        <v>21874588.309999999</v>
      </c>
      <c r="F34" s="25">
        <v>4930757.5999999996</v>
      </c>
      <c r="G34" s="25">
        <v>8988244.5</v>
      </c>
      <c r="H34" s="25">
        <v>7955586.21</v>
      </c>
      <c r="I34" s="47">
        <v>33132676.219999999</v>
      </c>
      <c r="J34" s="47">
        <v>0</v>
      </c>
      <c r="K34" s="47">
        <v>11100000</v>
      </c>
      <c r="L34" s="78">
        <f>M34+N34+O34</f>
        <v>22032676.219999999</v>
      </c>
      <c r="M34" s="47">
        <v>4930757.5999999996</v>
      </c>
      <c r="N34" s="47">
        <v>8974744.5</v>
      </c>
      <c r="O34" s="47">
        <v>8127174.1200000001</v>
      </c>
      <c r="P34" s="28">
        <f t="shared" si="2"/>
        <v>32.974588310000001</v>
      </c>
      <c r="Q34" s="28">
        <f t="shared" si="12"/>
        <v>11.1</v>
      </c>
      <c r="R34" s="28">
        <f t="shared" si="11"/>
        <v>21.87458831</v>
      </c>
      <c r="S34" s="28">
        <f t="shared" si="11"/>
        <v>4.9307575999999997</v>
      </c>
      <c r="T34" s="28">
        <f t="shared" si="11"/>
        <v>8.9882445000000004</v>
      </c>
      <c r="U34" s="28">
        <f t="shared" si="11"/>
        <v>7.9555862099999999</v>
      </c>
      <c r="V34" s="28">
        <f t="shared" si="11"/>
        <v>33.13267622</v>
      </c>
      <c r="W34" s="28">
        <f t="shared" si="4"/>
        <v>11.1</v>
      </c>
      <c r="X34" s="28">
        <f t="shared" si="4"/>
        <v>22.032676219999999</v>
      </c>
      <c r="Y34" s="28">
        <f t="shared" si="4"/>
        <v>4.9307575999999997</v>
      </c>
      <c r="Z34" s="28">
        <f t="shared" si="4"/>
        <v>8.9747444999999999</v>
      </c>
      <c r="AA34" s="28">
        <f t="shared" si="4"/>
        <v>8.1271741199999994</v>
      </c>
      <c r="AB34" s="28">
        <f t="shared" si="10"/>
        <v>100.47942345333863</v>
      </c>
      <c r="AC34" s="28">
        <f>W34/Q34%</f>
        <v>100</v>
      </c>
      <c r="AD34" s="28">
        <f>X34/R34%</f>
        <v>100.7227011898904</v>
      </c>
      <c r="AE34" s="28">
        <f>Y34/S34%</f>
        <v>100</v>
      </c>
      <c r="AF34" s="28">
        <f>Z34/T34%</f>
        <v>99.849803818754594</v>
      </c>
      <c r="AG34" s="30">
        <f>AA34/U34%</f>
        <v>102.15682296025298</v>
      </c>
      <c r="AH34" s="236"/>
      <c r="AI34" s="49">
        <f t="shared" si="8"/>
        <v>0</v>
      </c>
      <c r="AJ34" s="7">
        <f t="shared" si="15"/>
        <v>0</v>
      </c>
    </row>
    <row r="35" spans="1:37" ht="76.5" hidden="1" x14ac:dyDescent="0.2">
      <c r="A35" s="38" t="s">
        <v>99</v>
      </c>
      <c r="B35" s="25"/>
      <c r="C35" s="25"/>
      <c r="D35" s="25"/>
      <c r="E35" s="78"/>
      <c r="F35" s="25"/>
      <c r="G35" s="25"/>
      <c r="H35" s="25"/>
      <c r="I35" s="47"/>
      <c r="J35" s="47"/>
      <c r="K35" s="47"/>
      <c r="L35" s="78"/>
      <c r="M35" s="47"/>
      <c r="N35" s="47"/>
      <c r="O35" s="47"/>
      <c r="P35" s="28">
        <f t="shared" si="2"/>
        <v>0</v>
      </c>
      <c r="Q35" s="28">
        <f t="shared" si="12"/>
        <v>0</v>
      </c>
      <c r="R35" s="28">
        <f t="shared" si="11"/>
        <v>0</v>
      </c>
      <c r="S35" s="28">
        <f t="shared" si="11"/>
        <v>0</v>
      </c>
      <c r="T35" s="28">
        <f t="shared" si="11"/>
        <v>0</v>
      </c>
      <c r="U35" s="28">
        <f t="shared" si="11"/>
        <v>0</v>
      </c>
      <c r="V35" s="28">
        <f t="shared" si="11"/>
        <v>0</v>
      </c>
      <c r="W35" s="28">
        <f t="shared" si="4"/>
        <v>0</v>
      </c>
      <c r="X35" s="28">
        <f t="shared" si="4"/>
        <v>0</v>
      </c>
      <c r="Y35" s="28">
        <f t="shared" si="4"/>
        <v>0</v>
      </c>
      <c r="Z35" s="28">
        <f t="shared" si="4"/>
        <v>0</v>
      </c>
      <c r="AA35" s="28">
        <f t="shared" si="4"/>
        <v>0</v>
      </c>
      <c r="AB35" s="51" t="s">
        <v>82</v>
      </c>
      <c r="AC35" s="51" t="s">
        <v>82</v>
      </c>
      <c r="AD35" s="51" t="s">
        <v>82</v>
      </c>
      <c r="AE35" s="51" t="s">
        <v>82</v>
      </c>
      <c r="AF35" s="51" t="s">
        <v>82</v>
      </c>
      <c r="AG35" s="46" t="s">
        <v>82</v>
      </c>
      <c r="AH35" s="242"/>
      <c r="AI35" s="49"/>
      <c r="AK35" s="7">
        <f>(Q29-Q36-Q37)*1000</f>
        <v>19054897.107889999</v>
      </c>
    </row>
    <row r="36" spans="1:37" ht="26.4" x14ac:dyDescent="0.25">
      <c r="A36" s="38" t="s">
        <v>500</v>
      </c>
      <c r="B36" s="25">
        <v>272162901.18000001</v>
      </c>
      <c r="C36" s="25">
        <v>199400206.34</v>
      </c>
      <c r="D36" s="25">
        <v>389613679.87</v>
      </c>
      <c r="E36" s="78">
        <f>F36+G36+H36+H37</f>
        <v>25513422.479999989</v>
      </c>
      <c r="F36" s="25">
        <v>9442279.1899999995</v>
      </c>
      <c r="G36" s="25">
        <v>58445505.159999996</v>
      </c>
      <c r="H36" s="25">
        <v>14061643.300000001</v>
      </c>
      <c r="I36" s="25">
        <v>290583695.38999999</v>
      </c>
      <c r="J36" s="25">
        <v>303989519.31999999</v>
      </c>
      <c r="K36" s="25">
        <v>515730087.75999999</v>
      </c>
      <c r="L36" s="78">
        <f>M36+N36+O36+O37</f>
        <v>25601915.780000001</v>
      </c>
      <c r="M36" s="25">
        <v>9442319.1400000006</v>
      </c>
      <c r="N36" s="25">
        <v>55314676.719999999</v>
      </c>
      <c r="O36" s="25">
        <v>14086131.09</v>
      </c>
      <c r="P36" s="28">
        <f t="shared" si="2"/>
        <v>272.16290118000001</v>
      </c>
      <c r="Q36" s="28">
        <f t="shared" si="12"/>
        <v>389.61367987</v>
      </c>
      <c r="R36" s="28">
        <f t="shared" si="11"/>
        <v>25.513422479999988</v>
      </c>
      <c r="S36" s="28">
        <f t="shared" si="11"/>
        <v>9.4422791899999989</v>
      </c>
      <c r="T36" s="28">
        <f t="shared" si="11"/>
        <v>58.445505159999996</v>
      </c>
      <c r="U36" s="28">
        <f t="shared" si="11"/>
        <v>14.0616433</v>
      </c>
      <c r="V36" s="28">
        <f t="shared" si="11"/>
        <v>290.58369539</v>
      </c>
      <c r="W36" s="28">
        <f t="shared" si="4"/>
        <v>515.73008775999995</v>
      </c>
      <c r="X36" s="28">
        <f t="shared" si="4"/>
        <v>25.601915780000002</v>
      </c>
      <c r="Y36" s="28">
        <f t="shared" si="4"/>
        <v>9.4423191400000004</v>
      </c>
      <c r="Z36" s="28">
        <f t="shared" si="4"/>
        <v>55.314676720000001</v>
      </c>
      <c r="AA36" s="28">
        <f t="shared" si="4"/>
        <v>14.08613109</v>
      </c>
      <c r="AB36" s="28">
        <f t="shared" si="10"/>
        <v>106.76829726980939</v>
      </c>
      <c r="AC36" s="28">
        <f t="shared" si="10"/>
        <v>132.36960466379938</v>
      </c>
      <c r="AD36" s="28">
        <f>X36/R36%</f>
        <v>100.3468499769852</v>
      </c>
      <c r="AE36" s="28">
        <f>Y36/S36%</f>
        <v>100.00042309700018</v>
      </c>
      <c r="AF36" s="28">
        <f>Z36/T36%</f>
        <v>94.643166430970069</v>
      </c>
      <c r="AG36" s="30">
        <f>AA36/U36%</f>
        <v>100.17414600468496</v>
      </c>
      <c r="AH36" s="236"/>
      <c r="AI36" s="49">
        <f t="shared" si="8"/>
        <v>-250.74830814999996</v>
      </c>
      <c r="AJ36" s="7">
        <f t="shared" si="15"/>
        <v>-250748.30814999997</v>
      </c>
    </row>
    <row r="37" spans="1:37" x14ac:dyDescent="0.25">
      <c r="A37" s="38" t="s">
        <v>100</v>
      </c>
      <c r="B37" s="25">
        <v>-470657979.43000001</v>
      </c>
      <c r="C37" s="25">
        <v>-199400206.34</v>
      </c>
      <c r="D37" s="25">
        <v>-405043600.91000003</v>
      </c>
      <c r="E37" s="78">
        <f>F37+G37</f>
        <v>-208578579.69</v>
      </c>
      <c r="F37" s="25">
        <v>-151844404.68000001</v>
      </c>
      <c r="G37" s="25">
        <v>-56734175.009999998</v>
      </c>
      <c r="H37" s="25">
        <v>-56436005.170000002</v>
      </c>
      <c r="I37" s="25">
        <v>-405043600.91000003</v>
      </c>
      <c r="J37" s="25">
        <v>-303989519.31999999</v>
      </c>
      <c r="K37" s="25">
        <v>-405043600.91000003</v>
      </c>
      <c r="L37" s="78">
        <f>M37+N37</f>
        <v>-250748308.15000001</v>
      </c>
      <c r="M37" s="25">
        <v>-197222635.55000001</v>
      </c>
      <c r="N37" s="25">
        <v>-53525672.600000001</v>
      </c>
      <c r="O37" s="25">
        <v>-53241211.170000002</v>
      </c>
      <c r="P37" s="28">
        <f t="shared" si="2"/>
        <v>-470.65797943000001</v>
      </c>
      <c r="Q37" s="28">
        <f t="shared" si="12"/>
        <v>-405.04360091000001</v>
      </c>
      <c r="R37" s="28">
        <f t="shared" si="11"/>
        <v>-208.57857969</v>
      </c>
      <c r="S37" s="28">
        <f t="shared" si="11"/>
        <v>-151.84440468</v>
      </c>
      <c r="T37" s="28">
        <f t="shared" si="11"/>
        <v>-56.734175010000001</v>
      </c>
      <c r="U37" s="28">
        <f t="shared" si="11"/>
        <v>-56.436005170000001</v>
      </c>
      <c r="V37" s="28">
        <f t="shared" si="11"/>
        <v>-405.04360091000001</v>
      </c>
      <c r="W37" s="28">
        <f t="shared" si="4"/>
        <v>-405.04360091000001</v>
      </c>
      <c r="X37" s="28">
        <f t="shared" si="4"/>
        <v>-250.74830815000001</v>
      </c>
      <c r="Y37" s="28">
        <f t="shared" si="4"/>
        <v>-197.22263555000001</v>
      </c>
      <c r="Z37" s="28">
        <f t="shared" si="4"/>
        <v>-53.5256726</v>
      </c>
      <c r="AA37" s="28">
        <f t="shared" si="4"/>
        <v>-53.24121117</v>
      </c>
      <c r="AB37" s="28">
        <f t="shared" si="10"/>
        <v>86.059010706784647</v>
      </c>
      <c r="AC37" s="28">
        <f t="shared" si="10"/>
        <v>100</v>
      </c>
      <c r="AD37" s="28">
        <f t="shared" si="10"/>
        <v>120.21766977350926</v>
      </c>
      <c r="AE37" s="28">
        <f t="shared" si="10"/>
        <v>129.88469082257657</v>
      </c>
      <c r="AF37" s="28">
        <f t="shared" si="10"/>
        <v>94.344674247163255</v>
      </c>
      <c r="AG37" s="30">
        <f t="shared" si="10"/>
        <v>94.339085499803801</v>
      </c>
      <c r="AH37" s="236"/>
      <c r="AI37" s="49">
        <f t="shared" si="8"/>
        <v>250.74830815000001</v>
      </c>
      <c r="AJ37" s="7">
        <f t="shared" si="15"/>
        <v>250748.30815000003</v>
      </c>
    </row>
    <row r="38" spans="1:37" s="37" customFormat="1" ht="13.8" thickBot="1" x14ac:dyDescent="0.3">
      <c r="A38" s="80" t="s">
        <v>101</v>
      </c>
      <c r="B38" s="81">
        <f>B12+B13+B14+B15+B16+B17+B18+B19+B20+B21+B22+B23+B24+B25+B26+B28+B29</f>
        <v>78162990522.459991</v>
      </c>
      <c r="C38" s="81">
        <f t="shared" ref="C38:D38" si="16">C12+C13+C14+C15+C16+C17+C18+C19+C20+C21+C22+C23+C24+C25+C26+C29</f>
        <v>26005112467.219997</v>
      </c>
      <c r="D38" s="81">
        <f t="shared" si="16"/>
        <v>65148393318.82</v>
      </c>
      <c r="E38" s="81">
        <f>E12+E13+E14+E15+E16+E17+E18+E19+E20+E21+E22+E23+E24+E25+E26+E28+E29</f>
        <v>35250610856.300003</v>
      </c>
      <c r="F38" s="81">
        <f t="shared" ref="F38:O38" si="17">F12+F13+F14+F15+F16+F17+F18+F19+F20+F21+F22+F23+F24+F25+F26+F28+F29</f>
        <v>18345198156.32</v>
      </c>
      <c r="G38" s="81">
        <f t="shared" si="17"/>
        <v>15752539312.120001</v>
      </c>
      <c r="H38" s="81">
        <f t="shared" si="17"/>
        <v>4921972202.4200001</v>
      </c>
      <c r="I38" s="81">
        <f t="shared" si="17"/>
        <v>78414300968.869995</v>
      </c>
      <c r="J38" s="81">
        <f t="shared" si="17"/>
        <v>24549749632.989998</v>
      </c>
      <c r="K38" s="81">
        <f t="shared" si="17"/>
        <v>65577561614.609993</v>
      </c>
      <c r="L38" s="81">
        <f t="shared" si="17"/>
        <v>34265667175.060001</v>
      </c>
      <c r="M38" s="81">
        <f t="shared" si="17"/>
        <v>18047763029.440002</v>
      </c>
      <c r="N38" s="81">
        <f t="shared" si="17"/>
        <v>15144476821.98</v>
      </c>
      <c r="O38" s="81">
        <f t="shared" si="17"/>
        <v>4194249135.8299999</v>
      </c>
      <c r="P38" s="82">
        <f t="shared" si="2"/>
        <v>78162.990522459993</v>
      </c>
      <c r="Q38" s="82">
        <f>D38/1000000</f>
        <v>65148.393318820003</v>
      </c>
      <c r="R38" s="82">
        <f t="shared" si="11"/>
        <v>35250.610856300002</v>
      </c>
      <c r="S38" s="82">
        <f t="shared" si="11"/>
        <v>18345.198156319999</v>
      </c>
      <c r="T38" s="82">
        <f t="shared" si="11"/>
        <v>15752.539312120001</v>
      </c>
      <c r="U38" s="82">
        <f t="shared" si="11"/>
        <v>4921.97220242</v>
      </c>
      <c r="V38" s="82">
        <f t="shared" si="11"/>
        <v>78414.300968869997</v>
      </c>
      <c r="W38" s="82">
        <f>K38/1000000</f>
        <v>65577.561614609993</v>
      </c>
      <c r="X38" s="82">
        <f t="shared" si="4"/>
        <v>34265.66717506</v>
      </c>
      <c r="Y38" s="82">
        <f t="shared" si="4"/>
        <v>18047.763029440004</v>
      </c>
      <c r="Z38" s="82">
        <f t="shared" si="4"/>
        <v>15144.476821979999</v>
      </c>
      <c r="AA38" s="82">
        <f t="shared" si="4"/>
        <v>4194.2491358300003</v>
      </c>
      <c r="AB38" s="82">
        <f t="shared" si="10"/>
        <v>100.32152102258394</v>
      </c>
      <c r="AC38" s="82">
        <f>W38/Q38%</f>
        <v>100.65875499598241</v>
      </c>
      <c r="AD38" s="82">
        <f t="shared" si="10"/>
        <v>97.205881948386235</v>
      </c>
      <c r="AE38" s="82">
        <f t="shared" si="10"/>
        <v>98.3786758565073</v>
      </c>
      <c r="AF38" s="82">
        <f t="shared" si="10"/>
        <v>96.13990812470368</v>
      </c>
      <c r="AG38" s="83">
        <f t="shared" si="10"/>
        <v>85.214807466157609</v>
      </c>
      <c r="AH38" s="243"/>
      <c r="AI38" s="49">
        <f>V38-W38-X38</f>
        <v>-21428.927820799996</v>
      </c>
      <c r="AJ38" s="7">
        <f t="shared" si="15"/>
        <v>-21428927.820799995</v>
      </c>
      <c r="AK38" s="37">
        <f>V38-P38</f>
        <v>251.31044641000335</v>
      </c>
    </row>
    <row r="39" spans="1:37" s="76" customFormat="1" ht="14.25" hidden="1" thickTop="1" thickBot="1" x14ac:dyDescent="0.25">
      <c r="A39" s="84" t="s">
        <v>102</v>
      </c>
      <c r="B39" s="85">
        <f t="shared" ref="B39:O39" si="18">B38-B10</f>
        <v>0</v>
      </c>
      <c r="C39" s="85">
        <f t="shared" si="18"/>
        <v>0</v>
      </c>
      <c r="D39" s="85">
        <f t="shared" si="18"/>
        <v>0</v>
      </c>
      <c r="E39" s="85">
        <f t="shared" si="18"/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7"/>
      <c r="AH39" s="94"/>
    </row>
    <row r="40" spans="1:37" s="76" customFormat="1" ht="14.25" hidden="1" thickTop="1" thickBot="1" x14ac:dyDescent="0.25">
      <c r="A40" s="88" t="s">
        <v>103</v>
      </c>
      <c r="B40" s="89">
        <f>B31+B32+B33+B34+B35+B36+B37</f>
        <v>18987130302.709999</v>
      </c>
      <c r="C40" s="89">
        <f t="shared" ref="C40:AA40" si="19">C31+C32+C33+C34+C35+C36+C37</f>
        <v>26004401000.549999</v>
      </c>
      <c r="D40" s="89">
        <f t="shared" si="19"/>
        <v>19039467186.849998</v>
      </c>
      <c r="E40" s="89">
        <f t="shared" si="19"/>
        <v>22182965301.850002</v>
      </c>
      <c r="F40" s="89">
        <f t="shared" si="19"/>
        <v>8763401595.1200008</v>
      </c>
      <c r="G40" s="89">
        <f t="shared" si="19"/>
        <v>13564076445.09</v>
      </c>
      <c r="H40" s="89">
        <f t="shared" si="19"/>
        <v>3624586076.2000003</v>
      </c>
      <c r="I40" s="89">
        <f t="shared" si="19"/>
        <v>19120787887.849998</v>
      </c>
      <c r="J40" s="89">
        <f t="shared" si="19"/>
        <v>24549038166.32</v>
      </c>
      <c r="K40" s="89">
        <f t="shared" si="19"/>
        <v>19215443894.999996</v>
      </c>
      <c r="L40" s="89">
        <f t="shared" si="19"/>
        <v>21333560346.98</v>
      </c>
      <c r="M40" s="89">
        <f t="shared" si="19"/>
        <v>8506432424.2300005</v>
      </c>
      <c r="N40" s="89">
        <f t="shared" si="19"/>
        <v>12966188553.549999</v>
      </c>
      <c r="O40" s="89">
        <f t="shared" si="19"/>
        <v>2981761181.3899999</v>
      </c>
      <c r="P40" s="89">
        <f t="shared" si="19"/>
        <v>18987.130302709997</v>
      </c>
      <c r="Q40" s="89">
        <f t="shared" si="19"/>
        <v>19039.467186849997</v>
      </c>
      <c r="R40" s="89">
        <f t="shared" si="19"/>
        <v>22182.965301849992</v>
      </c>
      <c r="S40" s="89">
        <f t="shared" si="19"/>
        <v>8763.4015951199999</v>
      </c>
      <c r="T40" s="89">
        <f t="shared" si="19"/>
        <v>13564.076445090001</v>
      </c>
      <c r="U40" s="89">
        <f t="shared" si="19"/>
        <v>3624.5860762000007</v>
      </c>
      <c r="V40" s="89">
        <f t="shared" si="19"/>
        <v>19120.787887849998</v>
      </c>
      <c r="W40" s="89">
        <f t="shared" si="19"/>
        <v>19215.443894999997</v>
      </c>
      <c r="X40" s="89">
        <f t="shared" si="19"/>
        <v>21333.560346980001</v>
      </c>
      <c r="Y40" s="89">
        <f t="shared" si="19"/>
        <v>8506.432424229999</v>
      </c>
      <c r="Z40" s="89">
        <f t="shared" si="19"/>
        <v>12966.188553549999</v>
      </c>
      <c r="AA40" s="89">
        <f t="shared" si="19"/>
        <v>2981.7611813899998</v>
      </c>
      <c r="AB40" s="90"/>
      <c r="AC40" s="90"/>
      <c r="AD40" s="90"/>
      <c r="AE40" s="90"/>
      <c r="AF40" s="90"/>
      <c r="AG40" s="90"/>
      <c r="AH40" s="94"/>
    </row>
    <row r="41" spans="1:37" s="76" customFormat="1" ht="14.25" hidden="1" thickTop="1" thickBot="1" x14ac:dyDescent="0.25">
      <c r="A41" s="91" t="s">
        <v>104</v>
      </c>
      <c r="B41" s="92">
        <f>B40-B29</f>
        <v>0</v>
      </c>
      <c r="C41" s="92">
        <f t="shared" ref="C41:AA41" si="20">C40-C29</f>
        <v>0</v>
      </c>
      <c r="D41" s="92">
        <f t="shared" si="20"/>
        <v>0</v>
      </c>
      <c r="E41" s="92">
        <f>E40-E29</f>
        <v>0</v>
      </c>
      <c r="F41" s="92">
        <f t="shared" si="20"/>
        <v>0</v>
      </c>
      <c r="G41" s="92">
        <f t="shared" si="20"/>
        <v>0</v>
      </c>
      <c r="H41" s="92">
        <f t="shared" si="20"/>
        <v>0</v>
      </c>
      <c r="I41" s="92">
        <f t="shared" si="20"/>
        <v>0</v>
      </c>
      <c r="J41" s="92">
        <f t="shared" si="20"/>
        <v>0</v>
      </c>
      <c r="K41" s="92">
        <f t="shared" si="20"/>
        <v>0</v>
      </c>
      <c r="L41" s="92">
        <f t="shared" si="20"/>
        <v>0</v>
      </c>
      <c r="M41" s="92">
        <f t="shared" si="20"/>
        <v>0</v>
      </c>
      <c r="N41" s="92">
        <f t="shared" si="20"/>
        <v>0</v>
      </c>
      <c r="O41" s="92">
        <f t="shared" si="20"/>
        <v>0</v>
      </c>
      <c r="P41" s="93">
        <f t="shared" si="20"/>
        <v>0</v>
      </c>
      <c r="Q41" s="93">
        <f t="shared" si="20"/>
        <v>0</v>
      </c>
      <c r="R41" s="93">
        <f t="shared" si="20"/>
        <v>0</v>
      </c>
      <c r="S41" s="93">
        <f t="shared" si="20"/>
        <v>0</v>
      </c>
      <c r="T41" s="93">
        <f t="shared" si="20"/>
        <v>0</v>
      </c>
      <c r="U41" s="93">
        <f t="shared" si="20"/>
        <v>0</v>
      </c>
      <c r="V41" s="93">
        <f t="shared" si="20"/>
        <v>0</v>
      </c>
      <c r="W41" s="93">
        <f t="shared" si="20"/>
        <v>0</v>
      </c>
      <c r="X41" s="93">
        <f t="shared" si="20"/>
        <v>0</v>
      </c>
      <c r="Y41" s="93">
        <f t="shared" si="20"/>
        <v>0</v>
      </c>
      <c r="Z41" s="93">
        <f t="shared" si="20"/>
        <v>0</v>
      </c>
      <c r="AA41" s="93">
        <f t="shared" si="20"/>
        <v>0</v>
      </c>
      <c r="AB41" s="94"/>
      <c r="AC41" s="94"/>
      <c r="AD41" s="94"/>
      <c r="AE41" s="94"/>
      <c r="AF41" s="94"/>
      <c r="AG41" s="94"/>
      <c r="AH41" s="94"/>
    </row>
    <row r="42" spans="1:37" s="76" customFormat="1" ht="14.25" hidden="1" thickTop="1" thickBot="1" x14ac:dyDescent="0.25">
      <c r="A42" s="91"/>
      <c r="B42" s="94"/>
      <c r="C42" s="94"/>
      <c r="D42" s="92"/>
      <c r="E42" s="92"/>
      <c r="F42" s="94"/>
      <c r="G42" s="94"/>
      <c r="H42" s="94"/>
      <c r="I42" s="94"/>
      <c r="J42" s="94"/>
      <c r="K42" s="94"/>
      <c r="L42" s="92"/>
      <c r="M42" s="92"/>
      <c r="N42" s="92"/>
      <c r="O42" s="92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</row>
    <row r="43" spans="1:37" s="76" customFormat="1" ht="39.75" hidden="1" thickTop="1" thickBot="1" x14ac:dyDescent="0.25">
      <c r="A43" s="91" t="s">
        <v>105</v>
      </c>
      <c r="B43" s="94"/>
      <c r="C43" s="94"/>
      <c r="D43" s="94"/>
      <c r="E43" s="95">
        <f>G110-H31</f>
        <v>216826.46000003815</v>
      </c>
      <c r="F43" s="94"/>
      <c r="G43" s="94"/>
      <c r="H43" s="94"/>
      <c r="I43" s="94"/>
      <c r="J43" s="94"/>
      <c r="K43" s="94"/>
      <c r="L43" s="95">
        <f>N110-O31</f>
        <v>0</v>
      </c>
      <c r="M43" s="94"/>
      <c r="N43" s="94"/>
      <c r="O43" s="94"/>
      <c r="P43" s="94"/>
      <c r="Q43" s="94"/>
      <c r="R43" s="96">
        <f>T110-U31</f>
        <v>0.21682645999999295</v>
      </c>
      <c r="S43" s="97"/>
      <c r="T43" s="97"/>
      <c r="U43" s="97"/>
      <c r="V43" s="97"/>
      <c r="W43" s="97"/>
      <c r="X43" s="96">
        <f>Z110-AA31</f>
        <v>0</v>
      </c>
      <c r="Y43" s="94"/>
      <c r="Z43" s="94"/>
      <c r="AA43" s="94"/>
      <c r="AB43" s="94"/>
      <c r="AC43" s="94"/>
      <c r="AD43" s="94"/>
      <c r="AE43" s="94"/>
      <c r="AF43" s="94"/>
      <c r="AG43" s="94"/>
      <c r="AH43" s="94"/>
    </row>
    <row r="44" spans="1:37" ht="13.5" customHeight="1" thickTop="1" x14ac:dyDescent="0.25">
      <c r="A44" s="396" t="s">
        <v>50</v>
      </c>
      <c r="B44" s="398" t="s">
        <v>51</v>
      </c>
      <c r="C44" s="398"/>
      <c r="D44" s="398"/>
      <c r="E44" s="398"/>
      <c r="F44" s="398"/>
      <c r="G44" s="398"/>
      <c r="H44" s="398"/>
      <c r="I44" s="398" t="s">
        <v>52</v>
      </c>
      <c r="J44" s="398"/>
      <c r="K44" s="398"/>
      <c r="L44" s="398"/>
      <c r="M44" s="398"/>
      <c r="N44" s="398"/>
      <c r="O44" s="398"/>
      <c r="P44" s="398" t="s">
        <v>53</v>
      </c>
      <c r="Q44" s="398"/>
      <c r="R44" s="398"/>
      <c r="S44" s="398"/>
      <c r="T44" s="398"/>
      <c r="U44" s="398"/>
      <c r="V44" s="398" t="s">
        <v>54</v>
      </c>
      <c r="W44" s="398"/>
      <c r="X44" s="398"/>
      <c r="Y44" s="398"/>
      <c r="Z44" s="398"/>
      <c r="AA44" s="398"/>
      <c r="AB44" s="398" t="s">
        <v>55</v>
      </c>
      <c r="AC44" s="398"/>
      <c r="AD44" s="398"/>
      <c r="AE44" s="398"/>
      <c r="AF44" s="398"/>
      <c r="AG44" s="399"/>
      <c r="AH44" s="231"/>
    </row>
    <row r="45" spans="1:37" x14ac:dyDescent="0.25">
      <c r="A45" s="397"/>
      <c r="B45" s="390" t="s">
        <v>56</v>
      </c>
      <c r="C45" s="403" t="s">
        <v>57</v>
      </c>
      <c r="D45" s="404"/>
      <c r="E45" s="404"/>
      <c r="F45" s="404"/>
      <c r="G45" s="404"/>
      <c r="H45" s="405"/>
      <c r="I45" s="390" t="s">
        <v>56</v>
      </c>
      <c r="J45" s="223"/>
      <c r="K45" s="388" t="s">
        <v>57</v>
      </c>
      <c r="L45" s="388"/>
      <c r="M45" s="388"/>
      <c r="N45" s="388"/>
      <c r="O45" s="388"/>
      <c r="P45" s="390" t="s">
        <v>56</v>
      </c>
      <c r="Q45" s="388" t="s">
        <v>58</v>
      </c>
      <c r="R45" s="388"/>
      <c r="S45" s="388"/>
      <c r="T45" s="388"/>
      <c r="U45" s="388"/>
      <c r="V45" s="390" t="s">
        <v>56</v>
      </c>
      <c r="W45" s="388" t="s">
        <v>58</v>
      </c>
      <c r="X45" s="388"/>
      <c r="Y45" s="388"/>
      <c r="Z45" s="388"/>
      <c r="AA45" s="388"/>
      <c r="AB45" s="390" t="s">
        <v>56</v>
      </c>
      <c r="AC45" s="388" t="s">
        <v>58</v>
      </c>
      <c r="AD45" s="388"/>
      <c r="AE45" s="388"/>
      <c r="AF45" s="388"/>
      <c r="AG45" s="389"/>
      <c r="AH45" s="231"/>
    </row>
    <row r="46" spans="1:37" x14ac:dyDescent="0.25">
      <c r="A46" s="397"/>
      <c r="B46" s="390"/>
      <c r="C46" s="401" t="s">
        <v>59</v>
      </c>
      <c r="D46" s="390" t="s">
        <v>60</v>
      </c>
      <c r="E46" s="390" t="s">
        <v>61</v>
      </c>
      <c r="F46" s="394" t="s">
        <v>62</v>
      </c>
      <c r="G46" s="394"/>
      <c r="H46" s="394"/>
      <c r="I46" s="390"/>
      <c r="J46" s="401" t="s">
        <v>59</v>
      </c>
      <c r="K46" s="390" t="s">
        <v>60</v>
      </c>
      <c r="L46" s="390" t="s">
        <v>61</v>
      </c>
      <c r="M46" s="394" t="s">
        <v>62</v>
      </c>
      <c r="N46" s="394"/>
      <c r="O46" s="394"/>
      <c r="P46" s="390"/>
      <c r="Q46" s="390" t="s">
        <v>60</v>
      </c>
      <c r="R46" s="390" t="s">
        <v>61</v>
      </c>
      <c r="S46" s="394" t="s">
        <v>62</v>
      </c>
      <c r="T46" s="394"/>
      <c r="U46" s="394"/>
      <c r="V46" s="390"/>
      <c r="W46" s="390" t="s">
        <v>60</v>
      </c>
      <c r="X46" s="390" t="s">
        <v>61</v>
      </c>
      <c r="Y46" s="394" t="s">
        <v>62</v>
      </c>
      <c r="Z46" s="394"/>
      <c r="AA46" s="394"/>
      <c r="AB46" s="390"/>
      <c r="AC46" s="391" t="s">
        <v>60</v>
      </c>
      <c r="AD46" s="391" t="s">
        <v>61</v>
      </c>
      <c r="AE46" s="392" t="s">
        <v>62</v>
      </c>
      <c r="AF46" s="392"/>
      <c r="AG46" s="393"/>
      <c r="AH46" s="232"/>
    </row>
    <row r="47" spans="1:37" ht="57.75" customHeight="1" x14ac:dyDescent="0.25">
      <c r="A47" s="397"/>
      <c r="B47" s="390"/>
      <c r="C47" s="402"/>
      <c r="D47" s="390"/>
      <c r="E47" s="390"/>
      <c r="F47" s="224" t="s">
        <v>63</v>
      </c>
      <c r="G47" s="224" t="s">
        <v>64</v>
      </c>
      <c r="H47" s="224" t="s">
        <v>65</v>
      </c>
      <c r="I47" s="390"/>
      <c r="J47" s="402"/>
      <c r="K47" s="390"/>
      <c r="L47" s="390"/>
      <c r="M47" s="224" t="s">
        <v>63</v>
      </c>
      <c r="N47" s="224" t="s">
        <v>64</v>
      </c>
      <c r="O47" s="224" t="s">
        <v>65</v>
      </c>
      <c r="P47" s="390"/>
      <c r="Q47" s="390"/>
      <c r="R47" s="390"/>
      <c r="S47" s="224" t="s">
        <v>63</v>
      </c>
      <c r="T47" s="224" t="s">
        <v>64</v>
      </c>
      <c r="U47" s="224" t="s">
        <v>65</v>
      </c>
      <c r="V47" s="390"/>
      <c r="W47" s="390"/>
      <c r="X47" s="390"/>
      <c r="Y47" s="224" t="s">
        <v>63</v>
      </c>
      <c r="Z47" s="224" t="s">
        <v>64</v>
      </c>
      <c r="AA47" s="224" t="s">
        <v>65</v>
      </c>
      <c r="AB47" s="390"/>
      <c r="AC47" s="391"/>
      <c r="AD47" s="391"/>
      <c r="AE47" s="11" t="s">
        <v>63</v>
      </c>
      <c r="AF47" s="11" t="s">
        <v>64</v>
      </c>
      <c r="AG47" s="12" t="s">
        <v>106</v>
      </c>
      <c r="AH47" s="233"/>
    </row>
    <row r="48" spans="1:37" x14ac:dyDescent="0.25">
      <c r="A48" s="13" t="s">
        <v>41</v>
      </c>
      <c r="B48" s="14"/>
      <c r="C48" s="14"/>
      <c r="D48" s="15"/>
      <c r="E48" s="14"/>
      <c r="F48" s="16"/>
      <c r="G48" s="16"/>
      <c r="H48" s="16"/>
      <c r="I48" s="14"/>
      <c r="J48" s="14"/>
      <c r="K48" s="14"/>
      <c r="L48" s="14"/>
      <c r="M48" s="16"/>
      <c r="N48" s="16"/>
      <c r="O48" s="16"/>
      <c r="P48" s="14" t="s">
        <v>67</v>
      </c>
      <c r="Q48" s="14" t="s">
        <v>68</v>
      </c>
      <c r="R48" s="14" t="s">
        <v>69</v>
      </c>
      <c r="S48" s="16">
        <v>4</v>
      </c>
      <c r="T48" s="16">
        <v>5</v>
      </c>
      <c r="U48" s="16">
        <v>6</v>
      </c>
      <c r="V48" s="14" t="s">
        <v>70</v>
      </c>
      <c r="W48" s="14" t="s">
        <v>71</v>
      </c>
      <c r="X48" s="14" t="s">
        <v>72</v>
      </c>
      <c r="Y48" s="16">
        <v>10</v>
      </c>
      <c r="Z48" s="16">
        <v>11</v>
      </c>
      <c r="AA48" s="16">
        <v>12</v>
      </c>
      <c r="AB48" s="14" t="s">
        <v>73</v>
      </c>
      <c r="AC48" s="14" t="s">
        <v>74</v>
      </c>
      <c r="AD48" s="14" t="s">
        <v>75</v>
      </c>
      <c r="AE48" s="16" t="s">
        <v>76</v>
      </c>
      <c r="AF48" s="16" t="s">
        <v>77</v>
      </c>
      <c r="AG48" s="17" t="s">
        <v>78</v>
      </c>
      <c r="AH48" s="234"/>
    </row>
    <row r="49" spans="1:34" x14ac:dyDescent="0.25">
      <c r="A49" s="98" t="s">
        <v>107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85"/>
      <c r="M49" s="99"/>
      <c r="N49" s="99"/>
      <c r="O49" s="99"/>
      <c r="P49" s="100"/>
      <c r="Q49" s="100"/>
      <c r="R49" s="100"/>
      <c r="S49" s="100"/>
      <c r="T49" s="100"/>
      <c r="U49" s="100"/>
      <c r="V49" s="100"/>
      <c r="W49" s="100"/>
      <c r="X49" s="101">
        <f>Y50+Z50+AA50-X50</f>
        <v>3120.8218121900136</v>
      </c>
      <c r="Y49" s="100"/>
      <c r="Z49" s="100"/>
      <c r="AA49" s="100"/>
      <c r="AB49" s="100"/>
      <c r="AC49" s="100"/>
      <c r="AD49" s="100"/>
      <c r="AE49" s="100"/>
      <c r="AF49" s="100"/>
      <c r="AG49" s="102"/>
      <c r="AH49" s="244"/>
    </row>
    <row r="50" spans="1:34" s="37" customFormat="1" ht="12.75" hidden="1" x14ac:dyDescent="0.2">
      <c r="A50" s="103" t="s">
        <v>108</v>
      </c>
      <c r="B50" s="104">
        <v>85654944704.149994</v>
      </c>
      <c r="C50" s="104">
        <v>26005112467.220001</v>
      </c>
      <c r="D50" s="104">
        <v>70296262661.610001</v>
      </c>
      <c r="E50" s="105">
        <f>F50+G50+H50-E110</f>
        <v>37594695695.200005</v>
      </c>
      <c r="F50" s="104">
        <v>19686406089.599998</v>
      </c>
      <c r="G50" s="104">
        <v>16093229599.65</v>
      </c>
      <c r="H50" s="104">
        <v>5584158820.5100002</v>
      </c>
      <c r="I50" s="104">
        <v>81203518465.460007</v>
      </c>
      <c r="J50" s="104">
        <v>24549749632.990002</v>
      </c>
      <c r="K50" s="104">
        <v>67954835294.010002</v>
      </c>
      <c r="L50" s="105">
        <f>M50+N50+O50-L110</f>
        <v>34677610992.249992</v>
      </c>
      <c r="M50" s="104">
        <v>18642109545.110001</v>
      </c>
      <c r="N50" s="104">
        <v>15080442527.879999</v>
      </c>
      <c r="O50" s="104">
        <v>4075880731.4499998</v>
      </c>
      <c r="P50" s="106">
        <f>B50/1000000</f>
        <v>85654.944704149995</v>
      </c>
      <c r="Q50" s="106">
        <f t="shared" ref="Q50:V65" si="21">D50/1000000</f>
        <v>70296.262661610002</v>
      </c>
      <c r="R50" s="106">
        <f t="shared" si="21"/>
        <v>37594.695695200004</v>
      </c>
      <c r="S50" s="106">
        <f t="shared" si="21"/>
        <v>19686.406089599997</v>
      </c>
      <c r="T50" s="106">
        <f t="shared" si="21"/>
        <v>16093.22959965</v>
      </c>
      <c r="U50" s="106">
        <f t="shared" si="21"/>
        <v>5584.1588205100006</v>
      </c>
      <c r="V50" s="106">
        <f t="shared" si="21"/>
        <v>81203.518465460002</v>
      </c>
      <c r="W50" s="106">
        <f t="shared" ref="W50:AA95" si="22">K50/1000000</f>
        <v>67954.835294010001</v>
      </c>
      <c r="X50" s="106">
        <f t="shared" si="22"/>
        <v>34677.610992249989</v>
      </c>
      <c r="Y50" s="106">
        <f t="shared" si="22"/>
        <v>18642.109545110001</v>
      </c>
      <c r="Z50" s="106">
        <f t="shared" si="22"/>
        <v>15080.442527879999</v>
      </c>
      <c r="AA50" s="106">
        <f t="shared" si="22"/>
        <v>4075.88073145</v>
      </c>
      <c r="AB50" s="106">
        <f t="shared" ref="AB50:AG65" si="23">V50/P50%</f>
        <v>94.803071493344476</v>
      </c>
      <c r="AC50" s="106">
        <f t="shared" si="23"/>
        <v>96.669200781169422</v>
      </c>
      <c r="AD50" s="106">
        <f t="shared" si="23"/>
        <v>92.240701383513354</v>
      </c>
      <c r="AE50" s="106">
        <f t="shared" si="23"/>
        <v>94.695341852966848</v>
      </c>
      <c r="AF50" s="106">
        <f t="shared" si="23"/>
        <v>93.706750621441287</v>
      </c>
      <c r="AG50" s="107">
        <f t="shared" si="23"/>
        <v>72.99005745466512</v>
      </c>
      <c r="AH50" s="245"/>
    </row>
    <row r="51" spans="1:34" s="37" customFormat="1" x14ac:dyDescent="0.25">
      <c r="A51" s="108" t="s">
        <v>109</v>
      </c>
      <c r="B51" s="109">
        <v>5732563894.2299995</v>
      </c>
      <c r="C51" s="109">
        <v>159141447.38</v>
      </c>
      <c r="D51" s="109">
        <v>2382672741.8000002</v>
      </c>
      <c r="E51" s="110">
        <f>F51+G51+H51-E52</f>
        <v>3438664340.04</v>
      </c>
      <c r="F51" s="32">
        <v>1494217517.95</v>
      </c>
      <c r="G51" s="32">
        <v>1225828126.46</v>
      </c>
      <c r="H51" s="32">
        <v>788986955.39999998</v>
      </c>
      <c r="I51" s="109">
        <v>5528881560.04</v>
      </c>
      <c r="J51" s="109">
        <v>156648595.94</v>
      </c>
      <c r="K51" s="109">
        <v>2341732261.1999998</v>
      </c>
      <c r="L51" s="110">
        <f>M51+N51+O51-L52</f>
        <v>3274982560.9400001</v>
      </c>
      <c r="M51" s="109">
        <v>1434991574.1900001</v>
      </c>
      <c r="N51" s="109">
        <v>1155020088.1700001</v>
      </c>
      <c r="O51" s="109">
        <v>753786232.41999996</v>
      </c>
      <c r="P51" s="34">
        <f>B51/1000000</f>
        <v>5732.5638942299993</v>
      </c>
      <c r="Q51" s="34">
        <f t="shared" si="21"/>
        <v>2382.6727418</v>
      </c>
      <c r="R51" s="34">
        <f t="shared" si="21"/>
        <v>3438.6643400399998</v>
      </c>
      <c r="S51" s="34">
        <f t="shared" si="21"/>
        <v>1494.21751795</v>
      </c>
      <c r="T51" s="34">
        <f t="shared" si="21"/>
        <v>1225.82812646</v>
      </c>
      <c r="U51" s="34">
        <f t="shared" si="21"/>
        <v>788.98695539999994</v>
      </c>
      <c r="V51" s="34">
        <f t="shared" si="21"/>
        <v>5528.8815600400003</v>
      </c>
      <c r="W51" s="34">
        <f t="shared" si="22"/>
        <v>2341.7322611999998</v>
      </c>
      <c r="X51" s="34">
        <f>L51/1000000</f>
        <v>3274.98256094</v>
      </c>
      <c r="Y51" s="34">
        <f>M51/1000000</f>
        <v>1434.9915741900002</v>
      </c>
      <c r="Z51" s="34">
        <f t="shared" si="22"/>
        <v>1155.02008817</v>
      </c>
      <c r="AA51" s="34">
        <f t="shared" si="22"/>
        <v>753.78623241999992</v>
      </c>
      <c r="AB51" s="34">
        <f t="shared" si="23"/>
        <v>96.446924309120888</v>
      </c>
      <c r="AC51" s="34">
        <f t="shared" si="23"/>
        <v>98.281741345264578</v>
      </c>
      <c r="AD51" s="34">
        <f>X51/R51%</f>
        <v>95.239960551133763</v>
      </c>
      <c r="AE51" s="34">
        <f>Y51/S51%</f>
        <v>96.03632382511114</v>
      </c>
      <c r="AF51" s="34">
        <f t="shared" si="23"/>
        <v>94.223656909025038</v>
      </c>
      <c r="AG51" s="35">
        <f>AA51/U51%</f>
        <v>95.538491132321198</v>
      </c>
      <c r="AH51" s="237"/>
    </row>
    <row r="52" spans="1:34" ht="12.75" hidden="1" x14ac:dyDescent="0.2">
      <c r="A52" s="111" t="s">
        <v>110</v>
      </c>
      <c r="B52" s="112">
        <v>47197.38</v>
      </c>
      <c r="C52" s="113">
        <v>159141447.38</v>
      </c>
      <c r="D52" s="113">
        <v>88820384.989999995</v>
      </c>
      <c r="E52" s="114">
        <f>F52+G52+H52</f>
        <v>70368259.770000011</v>
      </c>
      <c r="F52" s="112">
        <v>0</v>
      </c>
      <c r="G52" s="113">
        <v>52485032.840000004</v>
      </c>
      <c r="H52" s="113">
        <v>17883226.93</v>
      </c>
      <c r="I52" s="25">
        <v>0</v>
      </c>
      <c r="J52" s="25">
        <v>156648595.94</v>
      </c>
      <c r="K52" s="25">
        <v>87833262.099999994</v>
      </c>
      <c r="L52" s="114">
        <f>M52+N52+O52</f>
        <v>68815333.840000004</v>
      </c>
      <c r="M52" s="25">
        <v>0</v>
      </c>
      <c r="N52" s="25">
        <v>51248272.189999998</v>
      </c>
      <c r="O52" s="25">
        <v>17567061.649999999</v>
      </c>
      <c r="P52" s="28">
        <f>B52/1000000</f>
        <v>4.7197379999999997E-2</v>
      </c>
      <c r="Q52" s="28">
        <f t="shared" si="21"/>
        <v>88.820384989999994</v>
      </c>
      <c r="R52" s="28"/>
      <c r="S52" s="28"/>
      <c r="T52" s="28">
        <f t="shared" si="21"/>
        <v>52.485032840000002</v>
      </c>
      <c r="U52" s="28">
        <f t="shared" si="21"/>
        <v>17.883226929999999</v>
      </c>
      <c r="V52" s="28"/>
      <c r="W52" s="28">
        <f t="shared" si="22"/>
        <v>87.833262099999999</v>
      </c>
      <c r="X52" s="28"/>
      <c r="Y52" s="28"/>
      <c r="Z52" s="28">
        <f t="shared" si="22"/>
        <v>51.248272189999994</v>
      </c>
      <c r="AA52" s="28">
        <f t="shared" si="22"/>
        <v>17.567061649999999</v>
      </c>
      <c r="AB52" s="28">
        <f t="shared" si="23"/>
        <v>0</v>
      </c>
      <c r="AC52" s="28">
        <f t="shared" si="23"/>
        <v>98.888630250689488</v>
      </c>
      <c r="AD52" s="28"/>
      <c r="AE52" s="28"/>
      <c r="AF52" s="28">
        <f t="shared" si="23"/>
        <v>97.643593643600724</v>
      </c>
      <c r="AG52" s="30">
        <f>AA52/U52%</f>
        <v>98.232056880799206</v>
      </c>
      <c r="AH52" s="236"/>
    </row>
    <row r="53" spans="1:34" s="37" customFormat="1" x14ac:dyDescent="0.25">
      <c r="A53" s="108" t="s">
        <v>111</v>
      </c>
      <c r="B53" s="109">
        <v>31150200</v>
      </c>
      <c r="C53" s="109">
        <v>56469300</v>
      </c>
      <c r="D53" s="109">
        <v>31140700</v>
      </c>
      <c r="E53" s="110">
        <f>F53+G53+H53-E54</f>
        <v>31150200</v>
      </c>
      <c r="F53" s="109">
        <v>5812100</v>
      </c>
      <c r="G53" s="109">
        <v>25338100</v>
      </c>
      <c r="H53" s="109">
        <v>25328600</v>
      </c>
      <c r="I53" s="109">
        <v>30831841.469999999</v>
      </c>
      <c r="J53" s="109">
        <v>55957455.210000001</v>
      </c>
      <c r="K53" s="109">
        <v>30884315.859999999</v>
      </c>
      <c r="L53" s="110">
        <f>M53+N53+O53-L54</f>
        <v>30831841.469999999</v>
      </c>
      <c r="M53" s="109">
        <v>5811176.5099999998</v>
      </c>
      <c r="N53" s="109">
        <v>25082639.350000001</v>
      </c>
      <c r="O53" s="109">
        <v>25011164.960000001</v>
      </c>
      <c r="P53" s="34">
        <f t="shared" ref="P53:P92" si="24">B53/1000000</f>
        <v>31.150200000000002</v>
      </c>
      <c r="Q53" s="34">
        <f t="shared" si="21"/>
        <v>31.140699999999999</v>
      </c>
      <c r="R53" s="34">
        <f>E53/1000000</f>
        <v>31.150200000000002</v>
      </c>
      <c r="S53" s="34">
        <f>F53/1000000</f>
        <v>5.8121</v>
      </c>
      <c r="T53" s="34">
        <f t="shared" si="21"/>
        <v>25.338100000000001</v>
      </c>
      <c r="U53" s="34">
        <f t="shared" si="21"/>
        <v>25.328600000000002</v>
      </c>
      <c r="V53" s="34">
        <f t="shared" si="21"/>
        <v>30.831841470000001</v>
      </c>
      <c r="W53" s="34">
        <f t="shared" si="22"/>
        <v>30.884315860000001</v>
      </c>
      <c r="X53" s="34">
        <f t="shared" si="22"/>
        <v>30.831841470000001</v>
      </c>
      <c r="Y53" s="34">
        <f>M53/1000000</f>
        <v>5.8111765100000001</v>
      </c>
      <c r="Z53" s="34">
        <f t="shared" si="22"/>
        <v>25.082639350000001</v>
      </c>
      <c r="AA53" s="34">
        <f t="shared" si="22"/>
        <v>25.011164960000002</v>
      </c>
      <c r="AB53" s="34">
        <f t="shared" si="23"/>
        <v>98.977988809060619</v>
      </c>
      <c r="AC53" s="34">
        <f t="shared" si="23"/>
        <v>99.176691146955605</v>
      </c>
      <c r="AD53" s="34">
        <f t="shared" si="23"/>
        <v>98.977988809060619</v>
      </c>
      <c r="AE53" s="34">
        <f>Y53/S53%</f>
        <v>99.984110906557021</v>
      </c>
      <c r="AF53" s="34">
        <f t="shared" si="23"/>
        <v>98.991792399587965</v>
      </c>
      <c r="AG53" s="35">
        <f>AA53/U53%</f>
        <v>98.746732784283381</v>
      </c>
      <c r="AH53" s="237"/>
    </row>
    <row r="54" spans="1:34" ht="12.75" hidden="1" x14ac:dyDescent="0.2">
      <c r="A54" s="111" t="s">
        <v>110</v>
      </c>
      <c r="B54" s="115">
        <v>0</v>
      </c>
      <c r="C54" s="115">
        <v>56469300</v>
      </c>
      <c r="D54" s="115">
        <v>31140700</v>
      </c>
      <c r="E54" s="116">
        <f>F54+G54+H54</f>
        <v>25328600</v>
      </c>
      <c r="F54" s="115">
        <v>0</v>
      </c>
      <c r="G54" s="115">
        <v>25328600</v>
      </c>
      <c r="H54" s="115">
        <v>0</v>
      </c>
      <c r="I54" s="115">
        <v>0</v>
      </c>
      <c r="J54" s="115">
        <v>55957455.210000001</v>
      </c>
      <c r="K54" s="115">
        <v>30884315.859999999</v>
      </c>
      <c r="L54" s="116">
        <f>M54+N54+O54</f>
        <v>25073139.350000001</v>
      </c>
      <c r="M54" s="115">
        <v>0</v>
      </c>
      <c r="N54" s="115">
        <v>25073139.350000001</v>
      </c>
      <c r="O54" s="115">
        <v>0</v>
      </c>
      <c r="P54" s="28">
        <f t="shared" si="24"/>
        <v>0</v>
      </c>
      <c r="Q54" s="28">
        <f t="shared" si="21"/>
        <v>31.140699999999999</v>
      </c>
      <c r="R54" s="28"/>
      <c r="S54" s="28"/>
      <c r="T54" s="28">
        <f t="shared" si="21"/>
        <v>25.328600000000002</v>
      </c>
      <c r="U54" s="28">
        <f t="shared" si="21"/>
        <v>0</v>
      </c>
      <c r="V54" s="28">
        <f t="shared" si="21"/>
        <v>0</v>
      </c>
      <c r="W54" s="28">
        <f t="shared" si="22"/>
        <v>30.884315860000001</v>
      </c>
      <c r="X54" s="28"/>
      <c r="Y54" s="28"/>
      <c r="Z54" s="28">
        <f t="shared" si="22"/>
        <v>25.073139350000002</v>
      </c>
      <c r="AA54" s="28">
        <f t="shared" si="22"/>
        <v>0</v>
      </c>
      <c r="AB54" s="28"/>
      <c r="AC54" s="28">
        <f t="shared" si="23"/>
        <v>99.176691146955605</v>
      </c>
      <c r="AD54" s="28"/>
      <c r="AE54" s="28"/>
      <c r="AF54" s="28">
        <f t="shared" si="23"/>
        <v>98.991414251083754</v>
      </c>
      <c r="AG54" s="28"/>
      <c r="AH54" s="236"/>
    </row>
    <row r="55" spans="1:34" s="37" customFormat="1" ht="26.4" x14ac:dyDescent="0.25">
      <c r="A55" s="108" t="s">
        <v>112</v>
      </c>
      <c r="B55" s="109">
        <v>1323400506.78</v>
      </c>
      <c r="C55" s="109">
        <v>5492508.5</v>
      </c>
      <c r="D55" s="109">
        <v>1133945177.8599999</v>
      </c>
      <c r="E55" s="110">
        <f>F55+G55+H55-E56</f>
        <v>189685323.92000002</v>
      </c>
      <c r="F55" s="109">
        <v>145161061.86000001</v>
      </c>
      <c r="G55" s="109">
        <v>18247471.460000001</v>
      </c>
      <c r="H55" s="109">
        <v>31539304.100000001</v>
      </c>
      <c r="I55" s="109">
        <v>1308222995.29</v>
      </c>
      <c r="J55" s="109">
        <v>5294998.1100000003</v>
      </c>
      <c r="K55" s="109">
        <v>1133926754.97</v>
      </c>
      <c r="L55" s="110">
        <f>M55+N55+O55-L56</f>
        <v>174526240.31999999</v>
      </c>
      <c r="M55" s="109">
        <v>137528076.53</v>
      </c>
      <c r="N55" s="109">
        <v>16899080.59</v>
      </c>
      <c r="O55" s="109">
        <v>25164081.309999999</v>
      </c>
      <c r="P55" s="34">
        <f t="shared" si="24"/>
        <v>1323.4005067799999</v>
      </c>
      <c r="Q55" s="34">
        <f t="shared" si="21"/>
        <v>1133.9451778599998</v>
      </c>
      <c r="R55" s="34">
        <f>E55/1000000</f>
        <v>189.68532392000003</v>
      </c>
      <c r="S55" s="34">
        <f>F55/1000000</f>
        <v>145.16106186000002</v>
      </c>
      <c r="T55" s="34">
        <f t="shared" si="21"/>
        <v>18.24747146</v>
      </c>
      <c r="U55" s="34">
        <f t="shared" si="21"/>
        <v>31.539304100000003</v>
      </c>
      <c r="V55" s="34">
        <f t="shared" si="21"/>
        <v>1308.22299529</v>
      </c>
      <c r="W55" s="34">
        <f t="shared" si="22"/>
        <v>1133.92675497</v>
      </c>
      <c r="X55" s="34">
        <f t="shared" si="22"/>
        <v>174.52624032</v>
      </c>
      <c r="Y55" s="34">
        <f>M55/1000000</f>
        <v>137.52807652999999</v>
      </c>
      <c r="Z55" s="34">
        <f t="shared" si="22"/>
        <v>16.899080590000001</v>
      </c>
      <c r="AA55" s="34">
        <f t="shared" si="22"/>
        <v>25.16408131</v>
      </c>
      <c r="AB55" s="34">
        <f t="shared" si="23"/>
        <v>98.85314298942437</v>
      </c>
      <c r="AC55" s="34">
        <f t="shared" si="23"/>
        <v>99.998375327982373</v>
      </c>
      <c r="AD55" s="34">
        <f t="shared" si="23"/>
        <v>92.008299173217324</v>
      </c>
      <c r="AE55" s="34">
        <f>Y55/S55%</f>
        <v>94.741712941338477</v>
      </c>
      <c r="AF55" s="34">
        <f t="shared" si="23"/>
        <v>92.610533065056231</v>
      </c>
      <c r="AG55" s="35">
        <f t="shared" si="23"/>
        <v>79.786418971748958</v>
      </c>
      <c r="AH55" s="237"/>
    </row>
    <row r="56" spans="1:34" ht="12.75" hidden="1" x14ac:dyDescent="0.2">
      <c r="A56" s="111" t="s">
        <v>110</v>
      </c>
      <c r="B56" s="115">
        <v>5</v>
      </c>
      <c r="C56" s="115">
        <v>5492508.5</v>
      </c>
      <c r="D56" s="115">
        <v>230000</v>
      </c>
      <c r="E56" s="116">
        <f>F56+G56+H56</f>
        <v>5262513.5</v>
      </c>
      <c r="F56" s="115">
        <v>0</v>
      </c>
      <c r="G56" s="115">
        <v>3640944.5</v>
      </c>
      <c r="H56" s="115">
        <v>1621569</v>
      </c>
      <c r="I56" s="115">
        <v>0</v>
      </c>
      <c r="J56" s="115">
        <v>5294998.1100000003</v>
      </c>
      <c r="K56" s="115">
        <v>230000</v>
      </c>
      <c r="L56" s="116">
        <f>M56+N56+O56</f>
        <v>5064998.1099999994</v>
      </c>
      <c r="M56" s="115">
        <v>0</v>
      </c>
      <c r="N56" s="115">
        <v>3496774.11</v>
      </c>
      <c r="O56" s="115">
        <v>1568224</v>
      </c>
      <c r="P56" s="28"/>
      <c r="Q56" s="28">
        <f t="shared" si="21"/>
        <v>0.23</v>
      </c>
      <c r="R56" s="28"/>
      <c r="S56" s="28"/>
      <c r="T56" s="28">
        <f t="shared" si="21"/>
        <v>3.6409444999999998</v>
      </c>
      <c r="U56" s="28">
        <f t="shared" si="21"/>
        <v>1.621569</v>
      </c>
      <c r="V56" s="28"/>
      <c r="W56" s="28">
        <f t="shared" si="22"/>
        <v>0.23</v>
      </c>
      <c r="X56" s="28"/>
      <c r="Y56" s="28">
        <f t="shared" ref="Y56" si="25">M56/1000000</f>
        <v>0</v>
      </c>
      <c r="Z56" s="28">
        <f t="shared" si="22"/>
        <v>3.49677411</v>
      </c>
      <c r="AA56" s="28">
        <f t="shared" si="22"/>
        <v>1.5682240000000001</v>
      </c>
      <c r="AB56" s="28"/>
      <c r="AC56" s="28">
        <f t="shared" si="23"/>
        <v>100</v>
      </c>
      <c r="AD56" s="28"/>
      <c r="AE56" s="28"/>
      <c r="AF56" s="28">
        <f t="shared" si="23"/>
        <v>96.040302454486749</v>
      </c>
      <c r="AG56" s="30">
        <f t="shared" si="23"/>
        <v>96.710284915412174</v>
      </c>
      <c r="AH56" s="236"/>
    </row>
    <row r="57" spans="1:34" s="37" customFormat="1" x14ac:dyDescent="0.25">
      <c r="A57" s="108" t="s">
        <v>113</v>
      </c>
      <c r="B57" s="32">
        <v>10585270563.5</v>
      </c>
      <c r="C57" s="32">
        <v>643037377.55999994</v>
      </c>
      <c r="D57" s="32">
        <v>8649794134.0499992</v>
      </c>
      <c r="E57" s="110">
        <f>F57+G57+H57-E58</f>
        <v>2425931209.7600002</v>
      </c>
      <c r="F57" s="32">
        <v>1797330921.2</v>
      </c>
      <c r="G57" s="32">
        <v>362792823.85000002</v>
      </c>
      <c r="H57" s="32">
        <v>418390061.95999998</v>
      </c>
      <c r="I57" s="109">
        <v>10271500906.950001</v>
      </c>
      <c r="J57" s="109">
        <v>632310794.34000003</v>
      </c>
      <c r="K57" s="109">
        <v>8445906932.7700005</v>
      </c>
      <c r="L57" s="110">
        <f>M57+N57+O57-L58</f>
        <v>2310592195.52</v>
      </c>
      <c r="M57" s="109">
        <v>1766058736.1400001</v>
      </c>
      <c r="N57" s="109">
        <v>321554420.31</v>
      </c>
      <c r="O57" s="109">
        <v>370291612.06999999</v>
      </c>
      <c r="P57" s="34">
        <f t="shared" si="24"/>
        <v>10585.2705635</v>
      </c>
      <c r="Q57" s="34">
        <f t="shared" si="21"/>
        <v>8649.7941340500001</v>
      </c>
      <c r="R57" s="34">
        <f>E57/1000000</f>
        <v>2425.9312097600005</v>
      </c>
      <c r="S57" s="34">
        <f>F57/1000000</f>
        <v>1797.3309212000001</v>
      </c>
      <c r="T57" s="34">
        <f t="shared" si="21"/>
        <v>362.79282385000005</v>
      </c>
      <c r="U57" s="34">
        <f t="shared" si="21"/>
        <v>418.39006195999997</v>
      </c>
      <c r="V57" s="34">
        <f t="shared" si="21"/>
        <v>10271.500906950001</v>
      </c>
      <c r="W57" s="34">
        <f t="shared" si="22"/>
        <v>8445.9069327699999</v>
      </c>
      <c r="X57" s="34">
        <f t="shared" si="22"/>
        <v>2310.5921955200001</v>
      </c>
      <c r="Y57" s="34">
        <f>M57/1000000</f>
        <v>1766.0587361400001</v>
      </c>
      <c r="Z57" s="34">
        <f t="shared" si="22"/>
        <v>321.55442031000001</v>
      </c>
      <c r="AA57" s="34">
        <f t="shared" si="22"/>
        <v>370.29161206999999</v>
      </c>
      <c r="AB57" s="34">
        <f t="shared" si="23"/>
        <v>97.035789924615287</v>
      </c>
      <c r="AC57" s="34">
        <f t="shared" si="23"/>
        <v>97.642866429879561</v>
      </c>
      <c r="AD57" s="34">
        <f t="shared" si="23"/>
        <v>95.245577707398752</v>
      </c>
      <c r="AE57" s="34">
        <f>Y57/S57%</f>
        <v>98.260076389320616</v>
      </c>
      <c r="AF57" s="34">
        <f t="shared" si="23"/>
        <v>88.633070769599783</v>
      </c>
      <c r="AG57" s="35">
        <f t="shared" si="23"/>
        <v>88.503921516520535</v>
      </c>
      <c r="AH57" s="237"/>
    </row>
    <row r="58" spans="1:34" ht="12.75" hidden="1" x14ac:dyDescent="0.2">
      <c r="A58" s="111" t="s">
        <v>110</v>
      </c>
      <c r="B58" s="115">
        <v>1009733.24</v>
      </c>
      <c r="C58" s="115">
        <v>643037377.55999994</v>
      </c>
      <c r="D58" s="115">
        <v>491464513.55000001</v>
      </c>
      <c r="E58" s="116">
        <f>F58+G58+H58</f>
        <v>152582597.25</v>
      </c>
      <c r="F58" s="115">
        <v>0</v>
      </c>
      <c r="G58" s="115">
        <v>139123117.56999999</v>
      </c>
      <c r="H58" s="115">
        <v>13459479.68</v>
      </c>
      <c r="I58" s="115">
        <v>0</v>
      </c>
      <c r="J58" s="115">
        <v>632310794.34000003</v>
      </c>
      <c r="K58" s="115">
        <v>484998221.33999997</v>
      </c>
      <c r="L58" s="116">
        <f>M58+N58+O58</f>
        <v>147312573</v>
      </c>
      <c r="M58" s="115">
        <v>0</v>
      </c>
      <c r="N58" s="115">
        <v>134298317.78</v>
      </c>
      <c r="O58" s="115">
        <v>13014255.220000001</v>
      </c>
      <c r="P58" s="28">
        <f t="shared" si="24"/>
        <v>1.0097332400000001</v>
      </c>
      <c r="Q58" s="28">
        <f t="shared" si="21"/>
        <v>491.46451354999999</v>
      </c>
      <c r="R58" s="28"/>
      <c r="S58" s="28"/>
      <c r="T58" s="28">
        <f t="shared" si="21"/>
        <v>139.12311757000001</v>
      </c>
      <c r="U58" s="28">
        <f t="shared" si="21"/>
        <v>13.459479679999999</v>
      </c>
      <c r="V58" s="28">
        <f t="shared" si="21"/>
        <v>0</v>
      </c>
      <c r="W58" s="28">
        <f t="shared" si="22"/>
        <v>484.99822133999999</v>
      </c>
      <c r="X58" s="28"/>
      <c r="Y58" s="28"/>
      <c r="Z58" s="28">
        <f t="shared" si="22"/>
        <v>134.29831777999999</v>
      </c>
      <c r="AA58" s="28">
        <f t="shared" si="22"/>
        <v>13.014255220000001</v>
      </c>
      <c r="AB58" s="28">
        <f t="shared" si="23"/>
        <v>0</v>
      </c>
      <c r="AC58" s="28">
        <f t="shared" si="23"/>
        <v>98.684280953818629</v>
      </c>
      <c r="AD58" s="117" t="s">
        <v>82</v>
      </c>
      <c r="AE58" s="117" t="s">
        <v>82</v>
      </c>
      <c r="AF58" s="28">
        <f t="shared" si="23"/>
        <v>96.531992759885938</v>
      </c>
      <c r="AG58" s="30">
        <f t="shared" si="23"/>
        <v>96.692112395239349</v>
      </c>
      <c r="AH58" s="236"/>
    </row>
    <row r="59" spans="1:34" x14ac:dyDescent="0.25">
      <c r="A59" s="111" t="s">
        <v>114</v>
      </c>
      <c r="B59" s="118">
        <v>638216086.88999999</v>
      </c>
      <c r="C59" s="118">
        <v>0</v>
      </c>
      <c r="D59" s="118">
        <v>638110901.51999998</v>
      </c>
      <c r="E59" s="119">
        <f>F59+G59+H59</f>
        <v>105185.37</v>
      </c>
      <c r="F59" s="118">
        <v>0</v>
      </c>
      <c r="G59" s="118">
        <v>50000</v>
      </c>
      <c r="H59" s="118">
        <v>55185.37</v>
      </c>
      <c r="I59" s="118">
        <v>590265155.69000006</v>
      </c>
      <c r="J59" s="118">
        <v>0</v>
      </c>
      <c r="K59" s="118">
        <v>590159970.32000005</v>
      </c>
      <c r="L59" s="119">
        <f>M59+N59+O59</f>
        <v>105185.37</v>
      </c>
      <c r="M59" s="118">
        <v>0</v>
      </c>
      <c r="N59" s="118">
        <v>50000</v>
      </c>
      <c r="O59" s="118">
        <v>55185.37</v>
      </c>
      <c r="P59" s="28">
        <f t="shared" si="24"/>
        <v>638.21608689000004</v>
      </c>
      <c r="Q59" s="28">
        <f t="shared" si="21"/>
        <v>638.11090151999997</v>
      </c>
      <c r="R59" s="28">
        <f>E59/1000000</f>
        <v>0.10518537</v>
      </c>
      <c r="S59" s="28">
        <f>F59/1000000</f>
        <v>0</v>
      </c>
      <c r="T59" s="28">
        <f t="shared" si="21"/>
        <v>0.05</v>
      </c>
      <c r="U59" s="28">
        <f t="shared" si="21"/>
        <v>5.5185370000000004E-2</v>
      </c>
      <c r="V59" s="28">
        <f t="shared" si="21"/>
        <v>590.26515569000003</v>
      </c>
      <c r="W59" s="28">
        <f t="shared" si="22"/>
        <v>590.15997032000007</v>
      </c>
      <c r="X59" s="28">
        <f>L59/1000000</f>
        <v>0.10518537</v>
      </c>
      <c r="Y59" s="28">
        <f>M59/1000000</f>
        <v>0</v>
      </c>
      <c r="Z59" s="28">
        <f t="shared" si="22"/>
        <v>0.05</v>
      </c>
      <c r="AA59" s="28">
        <f t="shared" si="22"/>
        <v>5.5185370000000004E-2</v>
      </c>
      <c r="AB59" s="28">
        <f t="shared" si="23"/>
        <v>92.48672476532785</v>
      </c>
      <c r="AC59" s="28">
        <f t="shared" si="23"/>
        <v>92.485486286822663</v>
      </c>
      <c r="AD59" s="28">
        <f>X59/R59%</f>
        <v>100</v>
      </c>
      <c r="AE59" s="51" t="s">
        <v>82</v>
      </c>
      <c r="AF59" s="28">
        <f t="shared" si="23"/>
        <v>100</v>
      </c>
      <c r="AG59" s="30">
        <f t="shared" si="23"/>
        <v>100</v>
      </c>
      <c r="AH59" s="236"/>
    </row>
    <row r="60" spans="1:34" x14ac:dyDescent="0.25">
      <c r="A60" s="111" t="s">
        <v>115</v>
      </c>
      <c r="B60" s="118">
        <v>67034541.509999998</v>
      </c>
      <c r="C60" s="118">
        <v>6231519.3600000003</v>
      </c>
      <c r="D60" s="118">
        <v>63449622</v>
      </c>
      <c r="E60" s="110">
        <f>F60+G60+H60-E61</f>
        <v>9716438.8699999992</v>
      </c>
      <c r="F60" s="118">
        <v>3219897.36</v>
      </c>
      <c r="G60" s="118">
        <v>3104064.41</v>
      </c>
      <c r="H60" s="118">
        <v>3492477.1</v>
      </c>
      <c r="I60" s="118">
        <v>63886291.310000002</v>
      </c>
      <c r="J60" s="118">
        <v>5844990</v>
      </c>
      <c r="K60" s="118">
        <v>62585818.350000001</v>
      </c>
      <c r="L60" s="120">
        <f>M60+N60+O60-L61</f>
        <v>7045462.9600000009</v>
      </c>
      <c r="M60" s="118">
        <v>2803575.5</v>
      </c>
      <c r="N60" s="118">
        <v>2019282.98</v>
      </c>
      <c r="O60" s="118">
        <v>2322604.48</v>
      </c>
      <c r="P60" s="28">
        <f t="shared" si="24"/>
        <v>67.034541509999997</v>
      </c>
      <c r="Q60" s="28">
        <f t="shared" si="21"/>
        <v>63.449621999999998</v>
      </c>
      <c r="R60" s="28">
        <f>E60/1000000</f>
        <v>9.7164388699999993</v>
      </c>
      <c r="S60" s="28">
        <f>F60/1000000</f>
        <v>3.21989736</v>
      </c>
      <c r="T60" s="28">
        <f t="shared" si="21"/>
        <v>3.1040644100000003</v>
      </c>
      <c r="U60" s="28">
        <f t="shared" si="21"/>
        <v>3.4924770999999999</v>
      </c>
      <c r="V60" s="28">
        <f t="shared" si="21"/>
        <v>63.886291310000004</v>
      </c>
      <c r="W60" s="28">
        <f t="shared" si="22"/>
        <v>62.585818350000004</v>
      </c>
      <c r="X60" s="28">
        <f>L60/1000000</f>
        <v>7.0454629600000009</v>
      </c>
      <c r="Y60" s="28">
        <f>M60/1000000</f>
        <v>2.8035755</v>
      </c>
      <c r="Z60" s="28">
        <f t="shared" si="22"/>
        <v>2.0192829799999998</v>
      </c>
      <c r="AA60" s="28">
        <f t="shared" si="22"/>
        <v>2.3226044799999999</v>
      </c>
      <c r="AB60" s="28">
        <f t="shared" si="23"/>
        <v>95.30354034042233</v>
      </c>
      <c r="AC60" s="28">
        <f t="shared" si="23"/>
        <v>98.63859921813247</v>
      </c>
      <c r="AD60" s="28">
        <f>X60/R60%</f>
        <v>72.510752697196779</v>
      </c>
      <c r="AE60" s="28">
        <f>Y60/S60%</f>
        <v>87.070337546411722</v>
      </c>
      <c r="AF60" s="28">
        <f t="shared" si="23"/>
        <v>65.052869827530401</v>
      </c>
      <c r="AG60" s="30">
        <f t="shared" si="23"/>
        <v>66.5030696980089</v>
      </c>
      <c r="AH60" s="236"/>
    </row>
    <row r="61" spans="1:34" s="127" customFormat="1" ht="12.75" hidden="1" x14ac:dyDescent="0.2">
      <c r="A61" s="121" t="s">
        <v>116</v>
      </c>
      <c r="B61" s="122">
        <v>0</v>
      </c>
      <c r="C61" s="122">
        <v>6231519.3600000003</v>
      </c>
      <c r="D61" s="122">
        <v>6131519.3600000003</v>
      </c>
      <c r="E61" s="123">
        <f>F61+G61+H61</f>
        <v>100000</v>
      </c>
      <c r="F61" s="122">
        <v>0</v>
      </c>
      <c r="G61" s="122">
        <v>0</v>
      </c>
      <c r="H61" s="122">
        <v>100000</v>
      </c>
      <c r="I61" s="122">
        <v>0</v>
      </c>
      <c r="J61" s="122">
        <v>5844990</v>
      </c>
      <c r="K61" s="122">
        <v>5744990</v>
      </c>
      <c r="L61" s="123">
        <f>M61+N61+O61</f>
        <v>100000</v>
      </c>
      <c r="M61" s="122">
        <v>0</v>
      </c>
      <c r="N61" s="122">
        <v>0</v>
      </c>
      <c r="O61" s="122">
        <v>100000</v>
      </c>
      <c r="P61" s="124"/>
      <c r="Q61" s="124">
        <f t="shared" si="21"/>
        <v>6.1315193600000004</v>
      </c>
      <c r="R61" s="124"/>
      <c r="S61" s="124"/>
      <c r="T61" s="124">
        <f t="shared" si="21"/>
        <v>0</v>
      </c>
      <c r="U61" s="124">
        <f t="shared" si="21"/>
        <v>0.1</v>
      </c>
      <c r="V61" s="124"/>
      <c r="W61" s="124">
        <f t="shared" si="22"/>
        <v>5.7449899999999996</v>
      </c>
      <c r="X61" s="124"/>
      <c r="Y61" s="124"/>
      <c r="Z61" s="124">
        <f t="shared" si="22"/>
        <v>0</v>
      </c>
      <c r="AA61" s="124">
        <f t="shared" si="22"/>
        <v>0.1</v>
      </c>
      <c r="AB61" s="125"/>
      <c r="AC61" s="124">
        <f t="shared" si="23"/>
        <v>93.696026428268496</v>
      </c>
      <c r="AD61" s="124"/>
      <c r="AE61" s="28"/>
      <c r="AF61" s="124"/>
      <c r="AG61" s="126">
        <f t="shared" si="23"/>
        <v>100</v>
      </c>
      <c r="AH61" s="246"/>
    </row>
    <row r="62" spans="1:34" x14ac:dyDescent="0.25">
      <c r="A62" s="111" t="s">
        <v>117</v>
      </c>
      <c r="B62" s="25">
        <v>1187526110.03</v>
      </c>
      <c r="C62" s="25">
        <v>626400</v>
      </c>
      <c r="D62" s="25">
        <v>1176302946.8900001</v>
      </c>
      <c r="E62" s="110">
        <f>F62+G62+H62-E63</f>
        <v>11618563.140000001</v>
      </c>
      <c r="F62" s="25">
        <v>0</v>
      </c>
      <c r="G62" s="25">
        <v>11602563.140000001</v>
      </c>
      <c r="H62" s="25">
        <v>247000</v>
      </c>
      <c r="I62" s="109">
        <v>1150897507.77</v>
      </c>
      <c r="J62" s="109">
        <v>626400</v>
      </c>
      <c r="K62" s="109">
        <v>1139834975.6400001</v>
      </c>
      <c r="L62" s="120">
        <f>M62+N62+O62-L63</f>
        <v>11457932.130000001</v>
      </c>
      <c r="M62" s="109">
        <v>0</v>
      </c>
      <c r="N62" s="109">
        <v>11441932.130000001</v>
      </c>
      <c r="O62" s="109">
        <v>247000</v>
      </c>
      <c r="P62" s="28">
        <f t="shared" si="24"/>
        <v>1187.5261100299999</v>
      </c>
      <c r="Q62" s="28">
        <f t="shared" si="21"/>
        <v>1176.3029468900002</v>
      </c>
      <c r="R62" s="28">
        <f>E62/1000000</f>
        <v>11.618563140000001</v>
      </c>
      <c r="S62" s="28">
        <f>F62/1000000</f>
        <v>0</v>
      </c>
      <c r="T62" s="28">
        <f t="shared" si="21"/>
        <v>11.602563140000001</v>
      </c>
      <c r="U62" s="28">
        <f t="shared" si="21"/>
        <v>0.247</v>
      </c>
      <c r="V62" s="28">
        <f t="shared" si="21"/>
        <v>1150.8975077699999</v>
      </c>
      <c r="W62" s="28">
        <f t="shared" si="22"/>
        <v>1139.83497564</v>
      </c>
      <c r="X62" s="28">
        <f>L62/1000000</f>
        <v>11.457932130000001</v>
      </c>
      <c r="Y62" s="28">
        <f>M62/1000000</f>
        <v>0</v>
      </c>
      <c r="Z62" s="28">
        <f t="shared" si="22"/>
        <v>11.441932130000001</v>
      </c>
      <c r="AA62" s="28">
        <f t="shared" si="22"/>
        <v>0.247</v>
      </c>
      <c r="AB62" s="28">
        <f t="shared" si="23"/>
        <v>96.915553944403399</v>
      </c>
      <c r="AC62" s="28">
        <f t="shared" si="23"/>
        <v>96.899780677552755</v>
      </c>
      <c r="AD62" s="28">
        <f>X62/R62%</f>
        <v>98.617462348274515</v>
      </c>
      <c r="AE62" s="51" t="s">
        <v>82</v>
      </c>
      <c r="AF62" s="28">
        <f t="shared" si="23"/>
        <v>98.615555821056276</v>
      </c>
      <c r="AG62" s="30">
        <f>AA62/U62%</f>
        <v>100</v>
      </c>
      <c r="AH62" s="236"/>
    </row>
    <row r="63" spans="1:34" s="127" customFormat="1" ht="12.75" hidden="1" x14ac:dyDescent="0.2">
      <c r="A63" s="121" t="s">
        <v>116</v>
      </c>
      <c r="B63" s="122">
        <v>0</v>
      </c>
      <c r="C63" s="122">
        <v>626400</v>
      </c>
      <c r="D63" s="122">
        <v>395400</v>
      </c>
      <c r="E63" s="123">
        <f>F63+G63+H63</f>
        <v>231000</v>
      </c>
      <c r="F63" s="122">
        <v>0</v>
      </c>
      <c r="G63" s="122">
        <v>231000</v>
      </c>
      <c r="H63" s="122">
        <v>0</v>
      </c>
      <c r="I63" s="128">
        <v>0</v>
      </c>
      <c r="J63" s="128">
        <v>626400</v>
      </c>
      <c r="K63" s="128">
        <v>395400</v>
      </c>
      <c r="L63" s="123">
        <f>M63+N63+O63</f>
        <v>231000</v>
      </c>
      <c r="M63" s="128">
        <v>0</v>
      </c>
      <c r="N63" s="128">
        <v>231000</v>
      </c>
      <c r="O63" s="128">
        <v>0</v>
      </c>
      <c r="P63" s="124"/>
      <c r="Q63" s="124">
        <f t="shared" si="21"/>
        <v>0.39539999999999997</v>
      </c>
      <c r="R63" s="124"/>
      <c r="S63" s="124"/>
      <c r="T63" s="124">
        <f t="shared" si="21"/>
        <v>0.23100000000000001</v>
      </c>
      <c r="U63" s="124">
        <f t="shared" si="21"/>
        <v>0</v>
      </c>
      <c r="V63" s="124"/>
      <c r="W63" s="124">
        <f t="shared" si="22"/>
        <v>0.39539999999999997</v>
      </c>
      <c r="X63" s="124"/>
      <c r="Y63" s="124"/>
      <c r="Z63" s="124">
        <f t="shared" si="22"/>
        <v>0.23100000000000001</v>
      </c>
      <c r="AA63" s="124">
        <f t="shared" si="22"/>
        <v>0</v>
      </c>
      <c r="AB63" s="124"/>
      <c r="AC63" s="124">
        <f t="shared" si="23"/>
        <v>99.999999999999986</v>
      </c>
      <c r="AD63" s="124"/>
      <c r="AE63" s="129"/>
      <c r="AF63" s="28">
        <f t="shared" si="23"/>
        <v>100</v>
      </c>
      <c r="AG63" s="126"/>
      <c r="AH63" s="246"/>
    </row>
    <row r="64" spans="1:34" x14ac:dyDescent="0.25">
      <c r="A64" s="111" t="s">
        <v>118</v>
      </c>
      <c r="B64" s="130">
        <v>78102295.459999993</v>
      </c>
      <c r="C64" s="130">
        <v>79323710</v>
      </c>
      <c r="D64" s="130">
        <v>69261219.450000003</v>
      </c>
      <c r="E64" s="110">
        <f>F64+G64+H64-E65</f>
        <v>44230030.00999999</v>
      </c>
      <c r="F64" s="130">
        <v>0</v>
      </c>
      <c r="G64" s="130">
        <v>44110030.009999998</v>
      </c>
      <c r="H64" s="130">
        <v>44054756</v>
      </c>
      <c r="I64" s="118">
        <v>65672563.460000001</v>
      </c>
      <c r="J64" s="118">
        <v>79323710</v>
      </c>
      <c r="K64" s="118">
        <v>57844636.729999997</v>
      </c>
      <c r="L64" s="120">
        <f>M64+N64+O64-L65</f>
        <v>43216880.730000004</v>
      </c>
      <c r="M64" s="118">
        <v>0</v>
      </c>
      <c r="N64" s="118">
        <v>44109399.200000003</v>
      </c>
      <c r="O64" s="118">
        <v>43042237.530000001</v>
      </c>
      <c r="P64" s="28">
        <f t="shared" si="24"/>
        <v>78.102295459999993</v>
      </c>
      <c r="Q64" s="28">
        <f t="shared" si="21"/>
        <v>69.261219449999999</v>
      </c>
      <c r="R64" s="28">
        <f>E64/1000000</f>
        <v>44.230030009999993</v>
      </c>
      <c r="S64" s="28">
        <f>F64/1000000</f>
        <v>0</v>
      </c>
      <c r="T64" s="28">
        <f t="shared" si="21"/>
        <v>44.110030009999996</v>
      </c>
      <c r="U64" s="28">
        <f t="shared" si="21"/>
        <v>44.054755999999998</v>
      </c>
      <c r="V64" s="28">
        <f t="shared" si="21"/>
        <v>65.672563460000006</v>
      </c>
      <c r="W64" s="28">
        <f t="shared" si="22"/>
        <v>57.844636729999998</v>
      </c>
      <c r="X64" s="28">
        <f>L64/1000000</f>
        <v>43.216880730000007</v>
      </c>
      <c r="Y64" s="28">
        <f>M64/1000000</f>
        <v>0</v>
      </c>
      <c r="Z64" s="28">
        <f t="shared" si="22"/>
        <v>44.109399200000006</v>
      </c>
      <c r="AA64" s="28">
        <f t="shared" si="22"/>
        <v>43.042237530000001</v>
      </c>
      <c r="AB64" s="28">
        <f t="shared" si="23"/>
        <v>84.085317945148148</v>
      </c>
      <c r="AC64" s="28">
        <f t="shared" si="23"/>
        <v>83.516630503103272</v>
      </c>
      <c r="AD64" s="28">
        <f>X64/R64%</f>
        <v>97.709363344833989</v>
      </c>
      <c r="AE64" s="51" t="s">
        <v>82</v>
      </c>
      <c r="AF64" s="28">
        <f t="shared" si="23"/>
        <v>99.998569917091771</v>
      </c>
      <c r="AG64" s="30">
        <f>AA64/U64%</f>
        <v>97.701681811607372</v>
      </c>
      <c r="AH64" s="236"/>
    </row>
    <row r="65" spans="1:34" s="127" customFormat="1" ht="12.75" hidden="1" x14ac:dyDescent="0.2">
      <c r="A65" s="121" t="s">
        <v>116</v>
      </c>
      <c r="B65" s="128">
        <v>0</v>
      </c>
      <c r="C65" s="128">
        <v>79323710</v>
      </c>
      <c r="D65" s="128">
        <v>35388954</v>
      </c>
      <c r="E65" s="123">
        <f>F65+G65+H65</f>
        <v>43934756</v>
      </c>
      <c r="F65" s="128">
        <v>0</v>
      </c>
      <c r="G65" s="128">
        <v>43934756</v>
      </c>
      <c r="H65" s="128">
        <v>0</v>
      </c>
      <c r="I65" s="128">
        <v>0</v>
      </c>
      <c r="J65" s="128">
        <v>79323710</v>
      </c>
      <c r="K65" s="128">
        <v>35388954</v>
      </c>
      <c r="L65" s="123">
        <f>M65+N65+O65</f>
        <v>43934756</v>
      </c>
      <c r="M65" s="128">
        <v>0</v>
      </c>
      <c r="N65" s="128">
        <v>43934756</v>
      </c>
      <c r="O65" s="128">
        <v>0</v>
      </c>
      <c r="P65" s="124"/>
      <c r="Q65" s="124">
        <f t="shared" si="21"/>
        <v>35.388953999999998</v>
      </c>
      <c r="R65" s="124"/>
      <c r="S65" s="124"/>
      <c r="T65" s="124">
        <f t="shared" si="21"/>
        <v>43.934756</v>
      </c>
      <c r="U65" s="124">
        <f t="shared" si="21"/>
        <v>0</v>
      </c>
      <c r="V65" s="124"/>
      <c r="W65" s="124">
        <f t="shared" si="22"/>
        <v>35.388953999999998</v>
      </c>
      <c r="X65" s="124"/>
      <c r="Y65" s="124"/>
      <c r="Z65" s="124">
        <f t="shared" si="22"/>
        <v>43.934756</v>
      </c>
      <c r="AA65" s="124">
        <f t="shared" si="22"/>
        <v>0</v>
      </c>
      <c r="AB65" s="124"/>
      <c r="AC65" s="124">
        <f t="shared" si="23"/>
        <v>100</v>
      </c>
      <c r="AD65" s="124"/>
      <c r="AE65" s="51" t="s">
        <v>82</v>
      </c>
      <c r="AF65" s="124">
        <f>Z65/T65%</f>
        <v>100</v>
      </c>
      <c r="AG65" s="126"/>
      <c r="AH65" s="246"/>
    </row>
    <row r="66" spans="1:34" x14ac:dyDescent="0.25">
      <c r="A66" s="111" t="s">
        <v>119</v>
      </c>
      <c r="B66" s="25">
        <v>837958180.19000006</v>
      </c>
      <c r="C66" s="25">
        <v>100000</v>
      </c>
      <c r="D66" s="25">
        <v>837136511</v>
      </c>
      <c r="E66" s="110">
        <f>F66+G66+H66-E67</f>
        <v>821669.19</v>
      </c>
      <c r="F66" s="25">
        <v>419000</v>
      </c>
      <c r="G66" s="25">
        <v>100000</v>
      </c>
      <c r="H66" s="25">
        <v>402669.19</v>
      </c>
      <c r="I66" s="109">
        <v>826875897.91999996</v>
      </c>
      <c r="J66" s="109">
        <v>0</v>
      </c>
      <c r="K66" s="109">
        <v>826257640.59000003</v>
      </c>
      <c r="L66" s="110">
        <f>M66+N66+O66-L67</f>
        <v>618257.33000000007</v>
      </c>
      <c r="M66" s="25">
        <v>418257.33</v>
      </c>
      <c r="N66" s="25">
        <v>0</v>
      </c>
      <c r="O66" s="25">
        <v>200000</v>
      </c>
      <c r="P66" s="28">
        <f t="shared" si="24"/>
        <v>837.95818019000001</v>
      </c>
      <c r="Q66" s="28">
        <f>D66/1000000</f>
        <v>837.13651100000004</v>
      </c>
      <c r="R66" s="28">
        <f>E66/1000000</f>
        <v>0.82166918999999994</v>
      </c>
      <c r="S66" s="28">
        <f>F66/1000000</f>
        <v>0.41899999999999998</v>
      </c>
      <c r="T66" s="28">
        <f t="shared" ref="T66:V94" si="26">G66/1000000</f>
        <v>0.1</v>
      </c>
      <c r="U66" s="28">
        <f t="shared" si="26"/>
        <v>0.40266919000000001</v>
      </c>
      <c r="V66" s="28">
        <f t="shared" si="26"/>
        <v>826.87589791999994</v>
      </c>
      <c r="W66" s="28">
        <f t="shared" si="22"/>
        <v>826.25764059000005</v>
      </c>
      <c r="X66" s="28">
        <f>L66/1000000</f>
        <v>0.61825733000000005</v>
      </c>
      <c r="Y66" s="28">
        <f>M66/1000000</f>
        <v>0.41825733000000004</v>
      </c>
      <c r="Z66" s="28">
        <f t="shared" si="22"/>
        <v>0</v>
      </c>
      <c r="AA66" s="28">
        <f t="shared" si="22"/>
        <v>0.2</v>
      </c>
      <c r="AB66" s="28">
        <f>V66/P66%</f>
        <v>98.677465948540856</v>
      </c>
      <c r="AC66" s="28">
        <f>W66/Q66%</f>
        <v>98.700466379491118</v>
      </c>
      <c r="AD66" s="28">
        <f t="shared" ref="AD66" si="27">X66/R66%</f>
        <v>75.244068723083075</v>
      </c>
      <c r="AE66" s="28">
        <f>Y66/S66%</f>
        <v>99.822751789976138</v>
      </c>
      <c r="AF66" s="28">
        <f t="shared" ref="AF66:AG67" si="28">Z66/T66%</f>
        <v>0</v>
      </c>
      <c r="AG66" s="30">
        <f t="shared" si="28"/>
        <v>49.668562921339969</v>
      </c>
      <c r="AH66" s="236"/>
    </row>
    <row r="67" spans="1:34" s="127" customFormat="1" ht="12.75" hidden="1" x14ac:dyDescent="0.2">
      <c r="A67" s="121" t="s">
        <v>116</v>
      </c>
      <c r="B67" s="131">
        <v>0</v>
      </c>
      <c r="C67" s="131">
        <v>100000</v>
      </c>
      <c r="D67" s="131">
        <v>0</v>
      </c>
      <c r="E67" s="123">
        <f>F67+G67+H67</f>
        <v>100000</v>
      </c>
      <c r="F67" s="131">
        <v>0</v>
      </c>
      <c r="G67" s="131">
        <v>100000</v>
      </c>
      <c r="H67" s="131">
        <v>0</v>
      </c>
      <c r="I67" s="132">
        <v>0</v>
      </c>
      <c r="J67" s="132">
        <v>0</v>
      </c>
      <c r="K67" s="132">
        <v>0</v>
      </c>
      <c r="L67" s="123">
        <f>M67+N67+O67</f>
        <v>0</v>
      </c>
      <c r="M67" s="131">
        <v>0</v>
      </c>
      <c r="N67" s="131">
        <v>0</v>
      </c>
      <c r="O67" s="131">
        <v>0</v>
      </c>
      <c r="P67" s="124"/>
      <c r="Q67" s="124">
        <f t="shared" ref="Q67:S95" si="29">D67/1000000</f>
        <v>0</v>
      </c>
      <c r="R67" s="124"/>
      <c r="S67" s="124"/>
      <c r="T67" s="124">
        <f>G67/1000000</f>
        <v>0.1</v>
      </c>
      <c r="U67" s="124">
        <f t="shared" si="26"/>
        <v>0</v>
      </c>
      <c r="V67" s="124"/>
      <c r="W67" s="124">
        <f>K67/1000000</f>
        <v>0</v>
      </c>
      <c r="X67" s="124"/>
      <c r="Y67" s="124"/>
      <c r="Z67" s="124">
        <f>N67/1000000</f>
        <v>0</v>
      </c>
      <c r="AA67" s="124"/>
      <c r="AB67" s="125"/>
      <c r="AC67" s="124"/>
      <c r="AD67" s="124"/>
      <c r="AE67" s="124"/>
      <c r="AF67" s="28">
        <f t="shared" si="28"/>
        <v>0</v>
      </c>
      <c r="AG67" s="126"/>
      <c r="AH67" s="246"/>
    </row>
    <row r="68" spans="1:34" x14ac:dyDescent="0.25">
      <c r="A68" s="111" t="s">
        <v>120</v>
      </c>
      <c r="B68" s="118">
        <v>807780386.00999999</v>
      </c>
      <c r="C68" s="118">
        <v>19305444.239999998</v>
      </c>
      <c r="D68" s="118">
        <v>533637361.13999999</v>
      </c>
      <c r="E68" s="110">
        <f>F68+G68+H68-E69</f>
        <v>289930354.00999999</v>
      </c>
      <c r="F68" s="118">
        <v>212381680.90000001</v>
      </c>
      <c r="G68" s="118">
        <v>65886982.420000002</v>
      </c>
      <c r="H68" s="118">
        <v>15179805.789999999</v>
      </c>
      <c r="I68" s="118">
        <v>720652619.27999997</v>
      </c>
      <c r="J68" s="118">
        <v>16153844.24</v>
      </c>
      <c r="K68" s="118">
        <v>460468300.60000002</v>
      </c>
      <c r="L68" s="120">
        <f>M68+N68+O68-L69</f>
        <v>272870047.81999999</v>
      </c>
      <c r="M68" s="118">
        <v>212301611.41</v>
      </c>
      <c r="N68" s="118">
        <v>49405740.25</v>
      </c>
      <c r="O68" s="118">
        <v>14630811.26</v>
      </c>
      <c r="P68" s="28">
        <f t="shared" si="24"/>
        <v>807.78038601000003</v>
      </c>
      <c r="Q68" s="28">
        <f t="shared" si="29"/>
        <v>533.63736113999994</v>
      </c>
      <c r="R68" s="28">
        <f>E68/1000000</f>
        <v>289.93035400999997</v>
      </c>
      <c r="S68" s="28">
        <f>F68/1000000</f>
        <v>212.38168089999999</v>
      </c>
      <c r="T68" s="28">
        <f t="shared" si="26"/>
        <v>65.886982419999995</v>
      </c>
      <c r="U68" s="28">
        <f t="shared" si="26"/>
        <v>15.17980579</v>
      </c>
      <c r="V68" s="28">
        <f t="shared" si="26"/>
        <v>720.65261927999995</v>
      </c>
      <c r="W68" s="28">
        <f t="shared" si="22"/>
        <v>460.46830060000002</v>
      </c>
      <c r="X68" s="28">
        <f>L68/1000000</f>
        <v>272.87004781999997</v>
      </c>
      <c r="Y68" s="28">
        <f>M68/1000000</f>
        <v>212.30161140999999</v>
      </c>
      <c r="Z68" s="28">
        <f t="shared" si="22"/>
        <v>49.405740250000001</v>
      </c>
      <c r="AA68" s="28">
        <f t="shared" si="22"/>
        <v>14.63081126</v>
      </c>
      <c r="AB68" s="28">
        <f>V68/P68%</f>
        <v>89.213928904567211</v>
      </c>
      <c r="AC68" s="28">
        <f t="shared" ref="AC68:AC108" si="30">W68/Q68%</f>
        <v>86.288617351736747</v>
      </c>
      <c r="AD68" s="28">
        <f>X68/R68%</f>
        <v>94.115722636819342</v>
      </c>
      <c r="AE68" s="28">
        <f>Y68/S68%</f>
        <v>99.962299248381171</v>
      </c>
      <c r="AF68" s="28">
        <f>Z68/T68%</f>
        <v>74.985586583796689</v>
      </c>
      <c r="AG68" s="30">
        <f>AA68/U68%</f>
        <v>96.383388973515977</v>
      </c>
      <c r="AH68" s="236"/>
    </row>
    <row r="69" spans="1:34" s="127" customFormat="1" ht="12.75" hidden="1" x14ac:dyDescent="0.2">
      <c r="A69" s="121" t="s">
        <v>116</v>
      </c>
      <c r="B69" s="122">
        <v>0</v>
      </c>
      <c r="C69" s="122">
        <v>19305444.240000002</v>
      </c>
      <c r="D69" s="122">
        <v>15787329.140000001</v>
      </c>
      <c r="E69" s="123">
        <f>F69+G69+H69</f>
        <v>3518115.1</v>
      </c>
      <c r="F69" s="122">
        <v>0</v>
      </c>
      <c r="G69" s="122">
        <v>3488115.1</v>
      </c>
      <c r="H69" s="122">
        <v>30000</v>
      </c>
      <c r="I69" s="122">
        <v>0</v>
      </c>
      <c r="J69" s="122">
        <v>16153844.239999998</v>
      </c>
      <c r="K69" s="122">
        <v>12685729.140000001</v>
      </c>
      <c r="L69" s="123">
        <f>M69+N69+O69</f>
        <v>3468115.1</v>
      </c>
      <c r="M69" s="122">
        <v>0</v>
      </c>
      <c r="N69" s="122">
        <v>3438115.1</v>
      </c>
      <c r="O69" s="122">
        <v>30000</v>
      </c>
      <c r="P69" s="124"/>
      <c r="Q69" s="124">
        <f t="shared" si="29"/>
        <v>15.787329140000001</v>
      </c>
      <c r="R69" s="124"/>
      <c r="S69" s="124"/>
      <c r="T69" s="124">
        <f t="shared" si="26"/>
        <v>3.4881150999999999</v>
      </c>
      <c r="U69" s="124">
        <f t="shared" si="26"/>
        <v>0.03</v>
      </c>
      <c r="V69" s="124"/>
      <c r="W69" s="124">
        <f t="shared" si="22"/>
        <v>12.685729140000001</v>
      </c>
      <c r="X69" s="124"/>
      <c r="Y69" s="124"/>
      <c r="Z69" s="124">
        <f t="shared" si="22"/>
        <v>3.4381151000000001</v>
      </c>
      <c r="AA69" s="124">
        <f t="shared" si="22"/>
        <v>0.03</v>
      </c>
      <c r="AB69" s="124"/>
      <c r="AC69" s="124">
        <f t="shared" si="30"/>
        <v>80.353864973008356</v>
      </c>
      <c r="AD69" s="124"/>
      <c r="AE69" s="124"/>
      <c r="AF69" s="124">
        <f t="shared" ref="AF69:AG85" si="31">Z69/T69%</f>
        <v>98.566561063308953</v>
      </c>
      <c r="AG69" s="126">
        <f t="shared" si="31"/>
        <v>100</v>
      </c>
      <c r="AH69" s="246"/>
    </row>
    <row r="70" spans="1:34" x14ac:dyDescent="0.25">
      <c r="A70" s="111" t="s">
        <v>121</v>
      </c>
      <c r="B70" s="25">
        <v>6333497936.3000002</v>
      </c>
      <c r="C70" s="25">
        <v>485036922.88999999</v>
      </c>
      <c r="D70" s="25">
        <v>4860774007</v>
      </c>
      <c r="E70" s="110">
        <f>F70+G70+H70-E71</f>
        <v>1870500695.3</v>
      </c>
      <c r="F70" s="25">
        <v>1472213393.1700001</v>
      </c>
      <c r="G70" s="25">
        <v>172561261.87</v>
      </c>
      <c r="H70" s="25">
        <v>312986197.14999998</v>
      </c>
      <c r="I70" s="25">
        <v>6250760052.7200003</v>
      </c>
      <c r="J70" s="25">
        <v>481812550.62</v>
      </c>
      <c r="K70" s="25">
        <v>4849487346.0900002</v>
      </c>
      <c r="L70" s="120">
        <f>M70+N70+O70-L71</f>
        <v>1798674364.1500001</v>
      </c>
      <c r="M70" s="25">
        <v>1451417107.1600001</v>
      </c>
      <c r="N70" s="25">
        <v>154676315.56999999</v>
      </c>
      <c r="O70" s="25">
        <v>276991834.51999998</v>
      </c>
      <c r="P70" s="28">
        <f t="shared" si="24"/>
        <v>6333.4979363000002</v>
      </c>
      <c r="Q70" s="28">
        <f t="shared" si="29"/>
        <v>4860.774007</v>
      </c>
      <c r="R70" s="28">
        <f>E70/1000000</f>
        <v>1870.5006953</v>
      </c>
      <c r="S70" s="28">
        <f>F70/1000000</f>
        <v>1472.21339317</v>
      </c>
      <c r="T70" s="28">
        <f t="shared" si="26"/>
        <v>172.56126187000001</v>
      </c>
      <c r="U70" s="28">
        <f t="shared" si="26"/>
        <v>312.98619714999995</v>
      </c>
      <c r="V70" s="28">
        <f t="shared" si="26"/>
        <v>6250.7600527200002</v>
      </c>
      <c r="W70" s="28">
        <f t="shared" si="22"/>
        <v>4849.4873460899998</v>
      </c>
      <c r="X70" s="28">
        <f>L70/1000000</f>
        <v>1798.6743641500002</v>
      </c>
      <c r="Y70" s="28">
        <f>M70/1000000</f>
        <v>1451.4171071600001</v>
      </c>
      <c r="Z70" s="28">
        <f t="shared" si="22"/>
        <v>154.67631556999999</v>
      </c>
      <c r="AA70" s="28">
        <f t="shared" si="22"/>
        <v>276.99183452</v>
      </c>
      <c r="AB70" s="28">
        <f>V70/P70%</f>
        <v>98.693646316582914</v>
      </c>
      <c r="AC70" s="28">
        <f t="shared" si="30"/>
        <v>99.767801158956459</v>
      </c>
      <c r="AD70" s="28">
        <f>X70/R70%</f>
        <v>96.160047877529408</v>
      </c>
      <c r="AE70" s="28">
        <f>Y70/S70%</f>
        <v>98.587413610928991</v>
      </c>
      <c r="AF70" s="28">
        <f t="shared" si="31"/>
        <v>89.635596016055018</v>
      </c>
      <c r="AG70" s="30">
        <f t="shared" si="31"/>
        <v>88.499696485736877</v>
      </c>
      <c r="AH70" s="236"/>
    </row>
    <row r="71" spans="1:34" s="127" customFormat="1" ht="12.75" hidden="1" x14ac:dyDescent="0.2">
      <c r="A71" s="121" t="s">
        <v>116</v>
      </c>
      <c r="B71" s="122">
        <v>315320</v>
      </c>
      <c r="C71" s="122">
        <v>485036922.88999999</v>
      </c>
      <c r="D71" s="122">
        <v>398092086</v>
      </c>
      <c r="E71" s="123">
        <f>F71+G71+H71</f>
        <v>87260156.890000001</v>
      </c>
      <c r="F71" s="122">
        <v>0</v>
      </c>
      <c r="G71" s="122">
        <v>74898133.629999995</v>
      </c>
      <c r="H71" s="122">
        <v>12362023.26</v>
      </c>
      <c r="I71" s="122">
        <v>0</v>
      </c>
      <c r="J71" s="122">
        <v>481812550.62</v>
      </c>
      <c r="K71" s="122">
        <v>397401657.51999998</v>
      </c>
      <c r="L71" s="123">
        <f>M71+N71+O71</f>
        <v>84410893.100000009</v>
      </c>
      <c r="M71" s="122">
        <v>0</v>
      </c>
      <c r="N71" s="122">
        <v>72258369.480000004</v>
      </c>
      <c r="O71" s="122">
        <v>12152523.619999999</v>
      </c>
      <c r="P71" s="124">
        <f t="shared" si="24"/>
        <v>0.31531999999999999</v>
      </c>
      <c r="Q71" s="124">
        <f t="shared" si="29"/>
        <v>398.09208599999999</v>
      </c>
      <c r="R71" s="124"/>
      <c r="S71" s="124"/>
      <c r="T71" s="124">
        <f t="shared" si="26"/>
        <v>74.89813362999999</v>
      </c>
      <c r="U71" s="124">
        <f t="shared" si="26"/>
        <v>12.362023259999999</v>
      </c>
      <c r="V71" s="124">
        <f t="shared" si="26"/>
        <v>0</v>
      </c>
      <c r="W71" s="124">
        <f t="shared" si="22"/>
        <v>397.40165751999996</v>
      </c>
      <c r="X71" s="124"/>
      <c r="Y71" s="124"/>
      <c r="Z71" s="124">
        <f t="shared" si="22"/>
        <v>72.258369479999999</v>
      </c>
      <c r="AA71" s="124">
        <f t="shared" si="22"/>
        <v>12.152523619999998</v>
      </c>
      <c r="AB71" s="124"/>
      <c r="AC71" s="124">
        <f t="shared" si="30"/>
        <v>99.826565635369093</v>
      </c>
      <c r="AD71" s="124"/>
      <c r="AE71" s="124"/>
      <c r="AF71" s="124">
        <f t="shared" si="31"/>
        <v>96.475527463687499</v>
      </c>
      <c r="AG71" s="126">
        <f t="shared" si="31"/>
        <v>98.305296506940877</v>
      </c>
      <c r="AH71" s="246"/>
    </row>
    <row r="72" spans="1:34" ht="12.75" hidden="1" x14ac:dyDescent="0.2">
      <c r="A72" s="111" t="s">
        <v>122</v>
      </c>
      <c r="B72" s="25">
        <v>11048736</v>
      </c>
      <c r="C72" s="25">
        <v>34192</v>
      </c>
      <c r="D72" s="25">
        <v>8459196</v>
      </c>
      <c r="E72" s="110">
        <f>F72+G72+H72-E73</f>
        <v>2606636</v>
      </c>
      <c r="F72" s="25">
        <v>2589540</v>
      </c>
      <c r="G72" s="25">
        <v>17096</v>
      </c>
      <c r="H72" s="25">
        <v>17096</v>
      </c>
      <c r="I72" s="25">
        <v>11048736</v>
      </c>
      <c r="J72" s="25">
        <v>34192</v>
      </c>
      <c r="K72" s="25">
        <v>8459196</v>
      </c>
      <c r="L72" s="120">
        <f>M72+N72+O72-L73</f>
        <v>2606636</v>
      </c>
      <c r="M72" s="25">
        <v>2589540</v>
      </c>
      <c r="N72" s="25">
        <v>17096</v>
      </c>
      <c r="O72" s="25">
        <v>17096</v>
      </c>
      <c r="P72" s="28">
        <f t="shared" si="24"/>
        <v>11.048736</v>
      </c>
      <c r="Q72" s="28">
        <f t="shared" si="29"/>
        <v>8.4591960000000004</v>
      </c>
      <c r="R72" s="28">
        <f>E72/1000000</f>
        <v>2.606636</v>
      </c>
      <c r="S72" s="28">
        <f>F72/1000000</f>
        <v>2.58954</v>
      </c>
      <c r="T72" s="28">
        <f t="shared" si="26"/>
        <v>1.7096E-2</v>
      </c>
      <c r="U72" s="28">
        <f t="shared" si="26"/>
        <v>1.7096E-2</v>
      </c>
      <c r="V72" s="28">
        <f t="shared" si="26"/>
        <v>11.048736</v>
      </c>
      <c r="W72" s="28">
        <f t="shared" si="22"/>
        <v>8.4591960000000004</v>
      </c>
      <c r="X72" s="28">
        <f t="shared" si="22"/>
        <v>2.606636</v>
      </c>
      <c r="Y72" s="28">
        <f t="shared" si="22"/>
        <v>2.58954</v>
      </c>
      <c r="Z72" s="28">
        <f t="shared" si="22"/>
        <v>1.7096E-2</v>
      </c>
      <c r="AA72" s="28">
        <f t="shared" si="22"/>
        <v>1.7096E-2</v>
      </c>
      <c r="AB72" s="28">
        <f>V72/P72%</f>
        <v>100</v>
      </c>
      <c r="AC72" s="28">
        <f t="shared" si="30"/>
        <v>100</v>
      </c>
      <c r="AD72" s="28">
        <f>X72/R72%</f>
        <v>100</v>
      </c>
      <c r="AE72" s="28">
        <f>Y72/S72%</f>
        <v>100</v>
      </c>
      <c r="AF72" s="28">
        <f t="shared" si="31"/>
        <v>100</v>
      </c>
      <c r="AG72" s="30">
        <f t="shared" si="31"/>
        <v>100</v>
      </c>
      <c r="AH72" s="236"/>
    </row>
    <row r="73" spans="1:34" s="127" customFormat="1" ht="12.75" hidden="1" x14ac:dyDescent="0.2">
      <c r="A73" s="121" t="s">
        <v>116</v>
      </c>
      <c r="B73" s="122">
        <v>0</v>
      </c>
      <c r="C73" s="122">
        <v>34192</v>
      </c>
      <c r="D73" s="122">
        <v>17096</v>
      </c>
      <c r="E73" s="123">
        <f>F73+G73+H73</f>
        <v>17096</v>
      </c>
      <c r="F73" s="122">
        <v>0</v>
      </c>
      <c r="G73" s="122">
        <v>17096</v>
      </c>
      <c r="H73" s="122">
        <v>0</v>
      </c>
      <c r="I73" s="122">
        <v>0</v>
      </c>
      <c r="J73" s="122">
        <v>34192</v>
      </c>
      <c r="K73" s="122">
        <v>17096</v>
      </c>
      <c r="L73" s="123">
        <f>M73+N73+O73</f>
        <v>17096</v>
      </c>
      <c r="M73" s="122">
        <v>0</v>
      </c>
      <c r="N73" s="122">
        <v>17096</v>
      </c>
      <c r="O73" s="122">
        <v>0</v>
      </c>
      <c r="P73" s="124"/>
      <c r="Q73" s="124">
        <f t="shared" si="29"/>
        <v>1.7096E-2</v>
      </c>
      <c r="R73" s="124"/>
      <c r="S73" s="124"/>
      <c r="T73" s="28">
        <f t="shared" si="26"/>
        <v>1.7096E-2</v>
      </c>
      <c r="U73" s="124"/>
      <c r="V73" s="124"/>
      <c r="W73" s="124">
        <f>K73/1000000</f>
        <v>1.7096E-2</v>
      </c>
      <c r="X73" s="124"/>
      <c r="Y73" s="124"/>
      <c r="Z73" s="28">
        <f t="shared" si="22"/>
        <v>1.7096E-2</v>
      </c>
      <c r="AA73" s="124"/>
      <c r="AB73" s="124"/>
      <c r="AC73" s="28">
        <f t="shared" si="30"/>
        <v>100</v>
      </c>
      <c r="AD73" s="124"/>
      <c r="AE73" s="28"/>
      <c r="AF73" s="28">
        <f t="shared" si="31"/>
        <v>100</v>
      </c>
      <c r="AG73" s="126"/>
      <c r="AH73" s="246"/>
    </row>
    <row r="74" spans="1:34" ht="26.4" x14ac:dyDescent="0.25">
      <c r="A74" s="111" t="s">
        <v>123</v>
      </c>
      <c r="B74" s="25">
        <v>624106291.11000001</v>
      </c>
      <c r="C74" s="25">
        <v>52379189.07</v>
      </c>
      <c r="D74" s="25">
        <v>462662369.05000001</v>
      </c>
      <c r="E74" s="110">
        <f>F74+G74+H74-E75</f>
        <v>196401637.87</v>
      </c>
      <c r="F74" s="25">
        <v>106507409.77</v>
      </c>
      <c r="G74" s="25">
        <v>65360826</v>
      </c>
      <c r="H74" s="25">
        <v>41954875.359999999</v>
      </c>
      <c r="I74" s="25">
        <v>591442082.79999995</v>
      </c>
      <c r="J74" s="25">
        <v>48515107.479999997</v>
      </c>
      <c r="K74" s="25">
        <v>450809048.44999999</v>
      </c>
      <c r="L74" s="120">
        <f>M74+N74+O74-L75</f>
        <v>173997429.02999997</v>
      </c>
      <c r="M74" s="25">
        <v>96528644.739999995</v>
      </c>
      <c r="N74" s="25">
        <v>59834654.18</v>
      </c>
      <c r="O74" s="25">
        <v>32784842.91</v>
      </c>
      <c r="P74" s="28">
        <f t="shared" si="24"/>
        <v>624.10629111000003</v>
      </c>
      <c r="Q74" s="28">
        <f t="shared" si="29"/>
        <v>462.66236905</v>
      </c>
      <c r="R74" s="28">
        <f t="shared" si="29"/>
        <v>196.40163787</v>
      </c>
      <c r="S74" s="28">
        <f t="shared" si="29"/>
        <v>106.50740977</v>
      </c>
      <c r="T74" s="28">
        <f t="shared" si="26"/>
        <v>65.360826000000003</v>
      </c>
      <c r="U74" s="28">
        <f t="shared" si="26"/>
        <v>41.954875360000003</v>
      </c>
      <c r="V74" s="28">
        <f t="shared" si="26"/>
        <v>591.44208279999998</v>
      </c>
      <c r="W74" s="28">
        <f t="shared" si="22"/>
        <v>450.80904844999998</v>
      </c>
      <c r="X74" s="28">
        <f t="shared" si="22"/>
        <v>173.99742902999998</v>
      </c>
      <c r="Y74" s="28">
        <f t="shared" si="22"/>
        <v>96.52864473999999</v>
      </c>
      <c r="Z74" s="28">
        <f t="shared" si="22"/>
        <v>59.834654180000001</v>
      </c>
      <c r="AA74" s="28">
        <f t="shared" si="22"/>
        <v>32.784842910000002</v>
      </c>
      <c r="AB74" s="28">
        <f>V74/P74%</f>
        <v>94.766242741776352</v>
      </c>
      <c r="AC74" s="28">
        <f t="shared" si="30"/>
        <v>97.4380193002645</v>
      </c>
      <c r="AD74" s="28">
        <f>X74/R74%</f>
        <v>88.592656821513089</v>
      </c>
      <c r="AE74" s="28">
        <f>Y74/S74%</f>
        <v>90.630919434104271</v>
      </c>
      <c r="AF74" s="28">
        <f t="shared" si="31"/>
        <v>91.545131605282947</v>
      </c>
      <c r="AG74" s="30">
        <f>AA74/U74%</f>
        <v>78.143106441587094</v>
      </c>
      <c r="AH74" s="236"/>
    </row>
    <row r="75" spans="1:34" s="127" customFormat="1" ht="12.75" hidden="1" x14ac:dyDescent="0.2">
      <c r="A75" s="121" t="s">
        <v>116</v>
      </c>
      <c r="B75" s="122">
        <v>694413.24</v>
      </c>
      <c r="C75" s="122">
        <v>52379189.07</v>
      </c>
      <c r="D75" s="122">
        <v>35652129.049999997</v>
      </c>
      <c r="E75" s="123">
        <f>F75+G75+H75</f>
        <v>17421473.260000002</v>
      </c>
      <c r="F75" s="122">
        <v>0</v>
      </c>
      <c r="G75" s="122">
        <v>16454016.84</v>
      </c>
      <c r="H75" s="122">
        <v>967456.42</v>
      </c>
      <c r="I75" s="122">
        <v>0</v>
      </c>
      <c r="J75" s="122">
        <v>48515107.480000004</v>
      </c>
      <c r="K75" s="122">
        <v>33364394.68</v>
      </c>
      <c r="L75" s="123">
        <f>M75+N75+O75</f>
        <v>15150712.799999999</v>
      </c>
      <c r="M75" s="122">
        <v>0</v>
      </c>
      <c r="N75" s="122">
        <v>14418981.199999999</v>
      </c>
      <c r="O75" s="122">
        <v>731731.6</v>
      </c>
      <c r="P75" s="124">
        <f t="shared" si="24"/>
        <v>0.69441324000000004</v>
      </c>
      <c r="Q75" s="124">
        <f t="shared" si="29"/>
        <v>35.652129049999999</v>
      </c>
      <c r="R75" s="124">
        <f t="shared" si="29"/>
        <v>17.421473260000003</v>
      </c>
      <c r="S75" s="124">
        <f t="shared" si="29"/>
        <v>0</v>
      </c>
      <c r="T75" s="124">
        <f t="shared" si="26"/>
        <v>16.454016840000001</v>
      </c>
      <c r="U75" s="124">
        <f t="shared" si="26"/>
        <v>0.96745642000000009</v>
      </c>
      <c r="V75" s="124">
        <f t="shared" si="26"/>
        <v>0</v>
      </c>
      <c r="W75" s="124">
        <f t="shared" si="22"/>
        <v>33.364394679999997</v>
      </c>
      <c r="X75" s="124"/>
      <c r="Y75" s="124"/>
      <c r="Z75" s="124">
        <f t="shared" si="22"/>
        <v>14.418981199999999</v>
      </c>
      <c r="AA75" s="124">
        <f t="shared" si="22"/>
        <v>0.73173159999999993</v>
      </c>
      <c r="AB75" s="124">
        <f>V75/P75%</f>
        <v>0</v>
      </c>
      <c r="AC75" s="124">
        <f t="shared" si="30"/>
        <v>93.5831760095124</v>
      </c>
      <c r="AD75" s="124"/>
      <c r="AE75" s="124"/>
      <c r="AF75" s="124">
        <f t="shared" si="31"/>
        <v>87.631982756619067</v>
      </c>
      <c r="AG75" s="126">
        <f t="shared" si="31"/>
        <v>75.634580005164452</v>
      </c>
      <c r="AH75" s="246"/>
    </row>
    <row r="76" spans="1:34" s="37" customFormat="1" ht="13.5" customHeight="1" x14ac:dyDescent="0.25">
      <c r="A76" s="31" t="s">
        <v>124</v>
      </c>
      <c r="B76" s="32">
        <v>10105308754.629999</v>
      </c>
      <c r="C76" s="32">
        <v>5930930549.5900002</v>
      </c>
      <c r="D76" s="32">
        <v>7067535611.0600004</v>
      </c>
      <c r="E76" s="110">
        <f>F76+G76+H76-E77</f>
        <v>6278048419.5900002</v>
      </c>
      <c r="F76" s="32">
        <v>2461457756.25</v>
      </c>
      <c r="G76" s="32">
        <v>2846077380</v>
      </c>
      <c r="H76" s="32">
        <v>3661168556.9099998</v>
      </c>
      <c r="I76" s="109">
        <v>7492602699.3599997</v>
      </c>
      <c r="J76" s="109">
        <v>4748902728.79</v>
      </c>
      <c r="K76" s="109">
        <v>5737329440.6400003</v>
      </c>
      <c r="L76" s="110">
        <f>M76+N76+O76-L77</f>
        <v>4444205529.54</v>
      </c>
      <c r="M76" s="109">
        <v>2061822139.72</v>
      </c>
      <c r="N76" s="109">
        <v>2176031393.8600001</v>
      </c>
      <c r="O76" s="109">
        <v>2266322453.9299998</v>
      </c>
      <c r="P76" s="34">
        <f t="shared" si="24"/>
        <v>10105.308754629999</v>
      </c>
      <c r="Q76" s="34">
        <f t="shared" si="29"/>
        <v>7067.5356110600005</v>
      </c>
      <c r="R76" s="34">
        <f t="shared" si="29"/>
        <v>6278.0484195899999</v>
      </c>
      <c r="S76" s="34">
        <f t="shared" si="29"/>
        <v>2461.4577562499999</v>
      </c>
      <c r="T76" s="34">
        <f t="shared" si="26"/>
        <v>2846.0773800000002</v>
      </c>
      <c r="U76" s="34">
        <f t="shared" si="26"/>
        <v>3661.16855691</v>
      </c>
      <c r="V76" s="34">
        <f t="shared" si="26"/>
        <v>7492.6026993599999</v>
      </c>
      <c r="W76" s="34">
        <f t="shared" si="22"/>
        <v>5737.32944064</v>
      </c>
      <c r="X76" s="34">
        <f t="shared" si="22"/>
        <v>4444.2055295399996</v>
      </c>
      <c r="Y76" s="34">
        <f t="shared" si="22"/>
        <v>2061.82213972</v>
      </c>
      <c r="Z76" s="34">
        <f t="shared" si="22"/>
        <v>2176.0313938600002</v>
      </c>
      <c r="AA76" s="34">
        <f t="shared" si="22"/>
        <v>2266.3224539299999</v>
      </c>
      <c r="AB76" s="34">
        <f>V76/P76%</f>
        <v>74.145212989430703</v>
      </c>
      <c r="AC76" s="34">
        <f t="shared" si="30"/>
        <v>81.178642123311576</v>
      </c>
      <c r="AD76" s="34">
        <f>X76/R76%</f>
        <v>70.78960263626378</v>
      </c>
      <c r="AE76" s="34">
        <f>Y76/S76%</f>
        <v>83.764270765351682</v>
      </c>
      <c r="AF76" s="34">
        <f t="shared" si="31"/>
        <v>76.457211218199561</v>
      </c>
      <c r="AG76" s="35">
        <f t="shared" si="31"/>
        <v>61.901614708577092</v>
      </c>
      <c r="AH76" s="237"/>
    </row>
    <row r="77" spans="1:34" ht="12.75" hidden="1" x14ac:dyDescent="0.2">
      <c r="A77" s="111" t="s">
        <v>110</v>
      </c>
      <c r="B77" s="133">
        <v>309167509.19</v>
      </c>
      <c r="C77" s="133">
        <v>5930930549.5900002</v>
      </c>
      <c r="D77" s="133">
        <v>3549442785.21</v>
      </c>
      <c r="E77" s="116">
        <f>F77+G77+H77</f>
        <v>2690655273.5700002</v>
      </c>
      <c r="F77" s="133">
        <v>0</v>
      </c>
      <c r="G77" s="133">
        <v>2679553216.3400002</v>
      </c>
      <c r="H77" s="133">
        <v>11102057.23</v>
      </c>
      <c r="I77" s="133">
        <v>0</v>
      </c>
      <c r="J77" s="133">
        <v>4748902728.79</v>
      </c>
      <c r="K77" s="133">
        <v>2688932270.8200002</v>
      </c>
      <c r="L77" s="116">
        <f>M77+N77+O77</f>
        <v>2059970457.97</v>
      </c>
      <c r="M77" s="133">
        <v>0</v>
      </c>
      <c r="N77" s="133">
        <v>2049008960.74</v>
      </c>
      <c r="O77" s="133">
        <v>10961497.23</v>
      </c>
      <c r="P77" s="28">
        <f t="shared" si="24"/>
        <v>309.16750918999998</v>
      </c>
      <c r="Q77" s="28">
        <f t="shared" si="29"/>
        <v>3549.4427852100002</v>
      </c>
      <c r="R77" s="28"/>
      <c r="S77" s="28"/>
      <c r="T77" s="28">
        <f t="shared" si="26"/>
        <v>2679.5532163400003</v>
      </c>
      <c r="U77" s="28">
        <f t="shared" si="26"/>
        <v>11.10205723</v>
      </c>
      <c r="V77" s="28">
        <f t="shared" si="26"/>
        <v>0</v>
      </c>
      <c r="W77" s="28">
        <f t="shared" si="22"/>
        <v>2688.9322708200002</v>
      </c>
      <c r="X77" s="28"/>
      <c r="Y77" s="28"/>
      <c r="Z77" s="28">
        <f t="shared" si="22"/>
        <v>2049.00896074</v>
      </c>
      <c r="AA77" s="28">
        <f t="shared" si="22"/>
        <v>10.961497230000001</v>
      </c>
      <c r="AB77" s="28">
        <f>V77/P77%</f>
        <v>0</v>
      </c>
      <c r="AC77" s="28">
        <f t="shared" si="30"/>
        <v>75.756461888169625</v>
      </c>
      <c r="AD77" s="34"/>
      <c r="AE77" s="28"/>
      <c r="AF77" s="28">
        <f t="shared" si="31"/>
        <v>76.468306292447508</v>
      </c>
      <c r="AG77" s="30">
        <f t="shared" si="31"/>
        <v>98.733928342396069</v>
      </c>
      <c r="AH77" s="236"/>
    </row>
    <row r="78" spans="1:34" x14ac:dyDescent="0.25">
      <c r="A78" s="134" t="s">
        <v>125</v>
      </c>
      <c r="B78" s="133">
        <v>5030107317.79</v>
      </c>
      <c r="C78" s="133">
        <v>4338733034.1000004</v>
      </c>
      <c r="D78" s="133">
        <v>3447619332.5</v>
      </c>
      <c r="E78" s="110">
        <f>F78+G78+H78-E79</f>
        <v>3999890235.3699989</v>
      </c>
      <c r="F78" s="133">
        <v>1431474761.5699999</v>
      </c>
      <c r="G78" s="133">
        <v>1948821691.1600001</v>
      </c>
      <c r="H78" s="133">
        <v>2540924566.6599998</v>
      </c>
      <c r="I78" s="133">
        <v>2726674463.8600001</v>
      </c>
      <c r="J78" s="133">
        <v>3543819577.23</v>
      </c>
      <c r="K78" s="133">
        <v>2333653871.96</v>
      </c>
      <c r="L78" s="110">
        <f>M78+N78+O78-L79</f>
        <v>2456424992.5100002</v>
      </c>
      <c r="M78" s="133">
        <v>1063478080.09</v>
      </c>
      <c r="N78" s="133">
        <v>1497796315.1199999</v>
      </c>
      <c r="O78" s="133">
        <v>1375565773.9200001</v>
      </c>
      <c r="P78" s="28">
        <f>B78/1000000</f>
        <v>5030.1073177899998</v>
      </c>
      <c r="Q78" s="28">
        <f t="shared" si="29"/>
        <v>3447.6193324999999</v>
      </c>
      <c r="R78" s="28">
        <f>E78/1000000</f>
        <v>3999.8902353699991</v>
      </c>
      <c r="S78" s="28">
        <f>F78/1000000</f>
        <v>1431.4747615699998</v>
      </c>
      <c r="T78" s="28">
        <f>G78/1000000</f>
        <v>1948.82169116</v>
      </c>
      <c r="U78" s="28">
        <f>H78/1000000</f>
        <v>2540.92456666</v>
      </c>
      <c r="V78" s="28">
        <f>I78/1000000</f>
        <v>2726.6744638600003</v>
      </c>
      <c r="W78" s="28">
        <f>K78/1000000</f>
        <v>2333.6538719599998</v>
      </c>
      <c r="X78" s="28">
        <f>L78/1000000</f>
        <v>2456.4249925100003</v>
      </c>
      <c r="Y78" s="28">
        <f>M78/1000000</f>
        <v>1063.47808009</v>
      </c>
      <c r="Z78" s="28">
        <f>N78/1000000</f>
        <v>1497.7963151199999</v>
      </c>
      <c r="AA78" s="28">
        <f>O78/1000000</f>
        <v>1375.5657739200001</v>
      </c>
      <c r="AB78" s="28">
        <f>V78/P78%</f>
        <v>54.207083300520452</v>
      </c>
      <c r="AC78" s="28">
        <f>W78/Q78%</f>
        <v>67.688849808942763</v>
      </c>
      <c r="AD78" s="28">
        <f>X78/R78%</f>
        <v>61.412310037622206</v>
      </c>
      <c r="AE78" s="28">
        <f>Y78/S78%</f>
        <v>74.292478543150025</v>
      </c>
      <c r="AF78" s="28">
        <f t="shared" si="31"/>
        <v>76.856508828597072</v>
      </c>
      <c r="AG78" s="30">
        <f t="shared" si="31"/>
        <v>54.136427030108834</v>
      </c>
      <c r="AH78" s="236"/>
    </row>
    <row r="79" spans="1:34" s="127" customFormat="1" ht="12.75" hidden="1" x14ac:dyDescent="0.2">
      <c r="A79" s="121" t="s">
        <v>116</v>
      </c>
      <c r="B79" s="135">
        <v>301783575.17000002</v>
      </c>
      <c r="C79" s="135">
        <v>4338733034.0999994</v>
      </c>
      <c r="D79" s="135">
        <v>2719185825.25</v>
      </c>
      <c r="E79" s="123">
        <f>F79+G79+H79</f>
        <v>1921330784.0200002</v>
      </c>
      <c r="F79" s="135">
        <v>0</v>
      </c>
      <c r="G79" s="135">
        <v>1920546330.0200002</v>
      </c>
      <c r="H79" s="135">
        <v>784454</v>
      </c>
      <c r="I79" s="135">
        <v>0</v>
      </c>
      <c r="J79" s="135">
        <v>3543819577.23</v>
      </c>
      <c r="K79" s="135">
        <v>2063404400.6100001</v>
      </c>
      <c r="L79" s="123">
        <f>M79+N79+O79</f>
        <v>1480415176.6199999</v>
      </c>
      <c r="M79" s="135">
        <v>0</v>
      </c>
      <c r="N79" s="135">
        <v>1479771282.6199999</v>
      </c>
      <c r="O79" s="135">
        <v>643894</v>
      </c>
      <c r="P79" s="124"/>
      <c r="Q79" s="124">
        <f t="shared" si="29"/>
        <v>2719.1858252500001</v>
      </c>
      <c r="R79" s="124"/>
      <c r="S79" s="124"/>
      <c r="T79" s="124">
        <f t="shared" ref="T79:U85" si="32">G79/1000000</f>
        <v>1920.5463300200001</v>
      </c>
      <c r="U79" s="124">
        <f t="shared" si="32"/>
        <v>0.78445399999999998</v>
      </c>
      <c r="V79" s="124"/>
      <c r="W79" s="124">
        <f t="shared" ref="W79:W85" si="33">K79/1000000</f>
        <v>2063.4044006100003</v>
      </c>
      <c r="X79" s="124"/>
      <c r="Y79" s="124"/>
      <c r="Z79" s="124">
        <f t="shared" ref="Z79:AA85" si="34">N79/1000000</f>
        <v>1479.77128262</v>
      </c>
      <c r="AA79" s="124">
        <f t="shared" si="34"/>
        <v>0.64389399999999997</v>
      </c>
      <c r="AB79" s="124"/>
      <c r="AC79" s="124">
        <f t="shared" ref="AC79:AC84" si="35">W79/Q79%</f>
        <v>75.883169934525981</v>
      </c>
      <c r="AD79" s="124"/>
      <c r="AE79" s="124"/>
      <c r="AF79" s="124">
        <f t="shared" si="31"/>
        <v>77.049496775461279</v>
      </c>
      <c r="AG79" s="126">
        <f t="shared" si="31"/>
        <v>82.081804669234899</v>
      </c>
      <c r="AH79" s="246"/>
    </row>
    <row r="80" spans="1:34" x14ac:dyDescent="0.25">
      <c r="A80" s="111" t="s">
        <v>126</v>
      </c>
      <c r="B80" s="133">
        <v>3968914159.4099998</v>
      </c>
      <c r="C80" s="133">
        <v>1581985339.4300001</v>
      </c>
      <c r="D80" s="133">
        <v>3565345180.98</v>
      </c>
      <c r="E80" s="110">
        <f>F80+G80+H80-E81</f>
        <v>1222178506.79</v>
      </c>
      <c r="F80" s="133">
        <v>224588457.61000001</v>
      </c>
      <c r="G80" s="133">
        <v>876629899.62</v>
      </c>
      <c r="H80" s="133">
        <v>884335960.63</v>
      </c>
      <c r="I80" s="133">
        <v>3702054966.8899999</v>
      </c>
      <c r="J80" s="133">
        <v>1194935335.5</v>
      </c>
      <c r="K80" s="133">
        <v>3349364916.2199998</v>
      </c>
      <c r="L80" s="110">
        <f>M80+N80+O80-L81</f>
        <v>973954423.30000007</v>
      </c>
      <c r="M80" s="133">
        <v>213222455.63</v>
      </c>
      <c r="N80" s="133">
        <v>657949049.46000004</v>
      </c>
      <c r="O80" s="133">
        <v>676453881.08000004</v>
      </c>
      <c r="P80" s="28">
        <f>B80/1000000</f>
        <v>3968.9141594099997</v>
      </c>
      <c r="Q80" s="28">
        <f t="shared" si="29"/>
        <v>3565.3451809799999</v>
      </c>
      <c r="R80" s="28">
        <f>E80/1000000</f>
        <v>1222.17850679</v>
      </c>
      <c r="S80" s="28">
        <f>F80/1000000</f>
        <v>224.58845761000001</v>
      </c>
      <c r="T80" s="28">
        <f t="shared" si="32"/>
        <v>876.62989962000006</v>
      </c>
      <c r="U80" s="28">
        <f t="shared" si="32"/>
        <v>884.33596063000005</v>
      </c>
      <c r="V80" s="28">
        <f>I80/1000000</f>
        <v>3702.0549668899998</v>
      </c>
      <c r="W80" s="28">
        <f t="shared" si="33"/>
        <v>3349.3649162199999</v>
      </c>
      <c r="X80" s="28">
        <f>L80/1000000</f>
        <v>973.95442330000003</v>
      </c>
      <c r="Y80" s="28">
        <f>M80/1000000</f>
        <v>213.22245562999998</v>
      </c>
      <c r="Z80" s="28">
        <f t="shared" si="34"/>
        <v>657.94904946000008</v>
      </c>
      <c r="AA80" s="28">
        <f t="shared" si="34"/>
        <v>676.45388108000009</v>
      </c>
      <c r="AB80" s="28">
        <f>V80/P80%</f>
        <v>93.276266963665705</v>
      </c>
      <c r="AC80" s="28">
        <f t="shared" si="35"/>
        <v>93.942234095251507</v>
      </c>
      <c r="AD80" s="28">
        <f>X80/R80%</f>
        <v>79.690030375190446</v>
      </c>
      <c r="AE80" s="28">
        <f>Y80/S80%</f>
        <v>94.939186946224467</v>
      </c>
      <c r="AF80" s="28">
        <f t="shared" si="31"/>
        <v>75.054370121895985</v>
      </c>
      <c r="AG80" s="30">
        <f t="shared" si="31"/>
        <v>76.492861445789799</v>
      </c>
      <c r="AH80" s="236"/>
    </row>
    <row r="81" spans="1:34" s="127" customFormat="1" ht="12.75" hidden="1" x14ac:dyDescent="0.2">
      <c r="A81" s="121" t="s">
        <v>116</v>
      </c>
      <c r="B81" s="135">
        <v>7383934.0199999996</v>
      </c>
      <c r="C81" s="135">
        <v>1581985339.4300001</v>
      </c>
      <c r="D81" s="135">
        <v>825993462.38</v>
      </c>
      <c r="E81" s="123">
        <f>F81+G81+H81</f>
        <v>763375811.07000005</v>
      </c>
      <c r="F81" s="135">
        <v>0</v>
      </c>
      <c r="G81" s="135">
        <v>753504707.84000003</v>
      </c>
      <c r="H81" s="135">
        <v>9871103.2300000004</v>
      </c>
      <c r="I81" s="135">
        <v>0</v>
      </c>
      <c r="J81" s="135">
        <v>1194935335.5</v>
      </c>
      <c r="K81" s="135">
        <v>621264372.63</v>
      </c>
      <c r="L81" s="123">
        <f>M81+N81+O81</f>
        <v>573670962.87</v>
      </c>
      <c r="M81" s="135">
        <v>0</v>
      </c>
      <c r="N81" s="135">
        <v>563799859.63999999</v>
      </c>
      <c r="O81" s="135">
        <v>9871103.2300000004</v>
      </c>
      <c r="P81" s="124"/>
      <c r="Q81" s="124">
        <f t="shared" si="29"/>
        <v>825.99346237999998</v>
      </c>
      <c r="R81" s="124"/>
      <c r="S81" s="124"/>
      <c r="T81" s="124">
        <f t="shared" si="32"/>
        <v>753.50470784000004</v>
      </c>
      <c r="U81" s="124">
        <f t="shared" si="32"/>
        <v>9.871103230000001</v>
      </c>
      <c r="V81" s="124"/>
      <c r="W81" s="124">
        <f t="shared" si="33"/>
        <v>621.26437263000003</v>
      </c>
      <c r="X81" s="124"/>
      <c r="Y81" s="124"/>
      <c r="Z81" s="124">
        <f t="shared" si="34"/>
        <v>563.79985964000002</v>
      </c>
      <c r="AA81" s="124">
        <f t="shared" si="34"/>
        <v>9.871103230000001</v>
      </c>
      <c r="AB81" s="124"/>
      <c r="AC81" s="124">
        <f t="shared" si="35"/>
        <v>75.214199739535729</v>
      </c>
      <c r="AD81" s="124"/>
      <c r="AE81" s="124"/>
      <c r="AF81" s="124">
        <f t="shared" si="31"/>
        <v>74.823667825008187</v>
      </c>
      <c r="AG81" s="126">
        <f t="shared" si="31"/>
        <v>100</v>
      </c>
      <c r="AH81" s="246"/>
    </row>
    <row r="82" spans="1:34" x14ac:dyDescent="0.25">
      <c r="A82" s="111" t="s">
        <v>127</v>
      </c>
      <c r="B82" s="133">
        <v>799512531.99000001</v>
      </c>
      <c r="C82" s="133">
        <v>9707196.0600000005</v>
      </c>
      <c r="D82" s="133">
        <v>4231757.58</v>
      </c>
      <c r="E82" s="110">
        <f>F82+G82+H82-E83</f>
        <v>799512531.99000001</v>
      </c>
      <c r="F82" s="133">
        <v>582638116.60000002</v>
      </c>
      <c r="G82" s="133">
        <v>6827338.4800000004</v>
      </c>
      <c r="H82" s="133">
        <v>215522515.38999999</v>
      </c>
      <c r="I82" s="133">
        <v>759717083.88999999</v>
      </c>
      <c r="J82" s="133">
        <v>9642836.0600000005</v>
      </c>
      <c r="K82" s="133">
        <v>4231757.58</v>
      </c>
      <c r="L82" s="110">
        <f>M82+N82+O82-L83</f>
        <v>759717083.8900001</v>
      </c>
      <c r="M82" s="133">
        <v>564050495.46000004</v>
      </c>
      <c r="N82" s="133">
        <v>6712978.4800000004</v>
      </c>
      <c r="O82" s="133">
        <v>194364688.43000001</v>
      </c>
      <c r="P82" s="28">
        <f>B82/1000000</f>
        <v>799.51253198999996</v>
      </c>
      <c r="Q82" s="28">
        <f t="shared" si="29"/>
        <v>4.23175758</v>
      </c>
      <c r="R82" s="28">
        <f>E82/1000000</f>
        <v>799.51253198999996</v>
      </c>
      <c r="S82" s="28">
        <f>F82/1000000</f>
        <v>582.63811659999999</v>
      </c>
      <c r="T82" s="28">
        <f t="shared" si="32"/>
        <v>6.8273384800000008</v>
      </c>
      <c r="U82" s="28">
        <f t="shared" si="32"/>
        <v>215.52251539</v>
      </c>
      <c r="V82" s="28">
        <f>I82/1000000</f>
        <v>759.71708389000003</v>
      </c>
      <c r="W82" s="28">
        <f t="shared" si="33"/>
        <v>4.23175758</v>
      </c>
      <c r="X82" s="28">
        <f>L82/1000000</f>
        <v>759.71708389000014</v>
      </c>
      <c r="Y82" s="28">
        <f>M82/1000000</f>
        <v>564.05049546000009</v>
      </c>
      <c r="Z82" s="28">
        <f t="shared" si="34"/>
        <v>6.7129784800000003</v>
      </c>
      <c r="AA82" s="28">
        <f t="shared" si="34"/>
        <v>194.36468843</v>
      </c>
      <c r="AB82" s="28">
        <f>V82/P82%</f>
        <v>95.022536044438425</v>
      </c>
      <c r="AC82" s="28">
        <f t="shared" si="35"/>
        <v>100</v>
      </c>
      <c r="AD82" s="28">
        <f>X82/R82%</f>
        <v>95.022536044438439</v>
      </c>
      <c r="AE82" s="28">
        <f>Y82/S82%</f>
        <v>96.809748519635406</v>
      </c>
      <c r="AF82" s="28">
        <f t="shared" si="31"/>
        <v>98.324969527510518</v>
      </c>
      <c r="AG82" s="30">
        <f t="shared" si="31"/>
        <v>90.183008526179393</v>
      </c>
      <c r="AH82" s="236"/>
    </row>
    <row r="83" spans="1:34" s="127" customFormat="1" ht="12.75" hidden="1" x14ac:dyDescent="0.2">
      <c r="A83" s="121" t="s">
        <v>116</v>
      </c>
      <c r="B83" s="135">
        <v>0</v>
      </c>
      <c r="C83" s="135">
        <v>9707196.0600000005</v>
      </c>
      <c r="D83" s="135">
        <v>4231757.58</v>
      </c>
      <c r="E83" s="116">
        <f>F83+G83+H83</f>
        <v>5475438.4800000004</v>
      </c>
      <c r="F83" s="135">
        <v>0</v>
      </c>
      <c r="G83" s="135">
        <v>5470438.4800000004</v>
      </c>
      <c r="H83" s="135">
        <v>5000</v>
      </c>
      <c r="I83" s="135">
        <v>0</v>
      </c>
      <c r="J83" s="135">
        <v>9642836.0600000005</v>
      </c>
      <c r="K83" s="135">
        <v>4231757.58</v>
      </c>
      <c r="L83" s="116">
        <f>M83+N83+O83</f>
        <v>5411078.4800000004</v>
      </c>
      <c r="M83" s="135">
        <v>0</v>
      </c>
      <c r="N83" s="135">
        <v>5406078.4800000004</v>
      </c>
      <c r="O83" s="135">
        <v>5000</v>
      </c>
      <c r="P83" s="124"/>
      <c r="Q83" s="124">
        <f t="shared" si="29"/>
        <v>4.23175758</v>
      </c>
      <c r="R83" s="124"/>
      <c r="S83" s="124"/>
      <c r="T83" s="124">
        <f t="shared" si="32"/>
        <v>5.4704384800000003</v>
      </c>
      <c r="U83" s="124">
        <f t="shared" si="32"/>
        <v>5.0000000000000001E-3</v>
      </c>
      <c r="V83" s="124"/>
      <c r="W83" s="124">
        <f t="shared" si="33"/>
        <v>4.23175758</v>
      </c>
      <c r="X83" s="124"/>
      <c r="Y83" s="124"/>
      <c r="Z83" s="124">
        <f t="shared" si="34"/>
        <v>5.4060784800000006</v>
      </c>
      <c r="AA83" s="124">
        <f t="shared" si="34"/>
        <v>5.0000000000000001E-3</v>
      </c>
      <c r="AB83" s="124"/>
      <c r="AC83" s="124">
        <f t="shared" si="35"/>
        <v>100</v>
      </c>
      <c r="AD83" s="124"/>
      <c r="AE83" s="124"/>
      <c r="AF83" s="124">
        <f t="shared" si="31"/>
        <v>98.82349467532994</v>
      </c>
      <c r="AG83" s="126">
        <f t="shared" si="31"/>
        <v>100</v>
      </c>
      <c r="AH83" s="246"/>
    </row>
    <row r="84" spans="1:34" ht="26.4" x14ac:dyDescent="0.25">
      <c r="A84" s="111" t="s">
        <v>128</v>
      </c>
      <c r="B84" s="133">
        <v>306774745.44</v>
      </c>
      <c r="C84" s="133">
        <v>504980</v>
      </c>
      <c r="D84" s="133">
        <v>50339340</v>
      </c>
      <c r="E84" s="110">
        <f>F84+G84+H84-E85</f>
        <v>256467145.44</v>
      </c>
      <c r="F84" s="133">
        <v>222756420.47</v>
      </c>
      <c r="G84" s="133">
        <v>13798450.74</v>
      </c>
      <c r="H84" s="133">
        <v>20385514.23</v>
      </c>
      <c r="I84" s="133">
        <v>304156184.72000003</v>
      </c>
      <c r="J84" s="133">
        <v>504980</v>
      </c>
      <c r="K84" s="133">
        <v>50078894.880000003</v>
      </c>
      <c r="L84" s="110">
        <f>M84+N84+O84-L85</f>
        <v>254109029.84</v>
      </c>
      <c r="M84" s="133">
        <v>221071108.53999999</v>
      </c>
      <c r="N84" s="133">
        <v>13573050.800000001</v>
      </c>
      <c r="O84" s="133">
        <v>19938110.5</v>
      </c>
      <c r="P84" s="28">
        <f>B84/1000000</f>
        <v>306.77474544</v>
      </c>
      <c r="Q84" s="28">
        <f t="shared" si="29"/>
        <v>50.33934</v>
      </c>
      <c r="R84" s="28">
        <f>E84/1000000</f>
        <v>256.46714544000002</v>
      </c>
      <c r="S84" s="28">
        <f>F84/1000000</f>
        <v>222.75642046999999</v>
      </c>
      <c r="T84" s="28">
        <f t="shared" si="32"/>
        <v>13.79845074</v>
      </c>
      <c r="U84" s="28">
        <f t="shared" si="32"/>
        <v>20.385514230000002</v>
      </c>
      <c r="V84" s="28">
        <f>I84/1000000</f>
        <v>304.15618472000006</v>
      </c>
      <c r="W84" s="28">
        <f t="shared" si="33"/>
        <v>50.07889488</v>
      </c>
      <c r="X84" s="28">
        <f>L84/1000000</f>
        <v>254.10902984000001</v>
      </c>
      <c r="Y84" s="28">
        <f>M84/1000000</f>
        <v>221.07110853999998</v>
      </c>
      <c r="Z84" s="28">
        <f t="shared" si="34"/>
        <v>13.573050800000001</v>
      </c>
      <c r="AA84" s="28">
        <f t="shared" si="34"/>
        <v>19.938110500000001</v>
      </c>
      <c r="AB84" s="28">
        <f>V84/P84%</f>
        <v>99.146422331393609</v>
      </c>
      <c r="AC84" s="28">
        <f t="shared" si="35"/>
        <v>99.482621107070528</v>
      </c>
      <c r="AD84" s="28">
        <f>X84/R84%</f>
        <v>99.080538914271301</v>
      </c>
      <c r="AE84" s="28">
        <f>Y84/S84%</f>
        <v>99.243428348128347</v>
      </c>
      <c r="AF84" s="28">
        <f t="shared" si="31"/>
        <v>98.366483714388352</v>
      </c>
      <c r="AG84" s="30">
        <f t="shared" si="31"/>
        <v>97.805286023437233</v>
      </c>
      <c r="AH84" s="236"/>
    </row>
    <row r="85" spans="1:34" s="127" customFormat="1" ht="12.75" hidden="1" x14ac:dyDescent="0.2">
      <c r="A85" s="121" t="s">
        <v>116</v>
      </c>
      <c r="B85" s="135">
        <v>0</v>
      </c>
      <c r="C85" s="135">
        <v>504980</v>
      </c>
      <c r="D85" s="135">
        <v>31740</v>
      </c>
      <c r="E85" s="116">
        <f>F85+G85+H85</f>
        <v>473240</v>
      </c>
      <c r="F85" s="135">
        <v>0</v>
      </c>
      <c r="G85" s="135">
        <v>31740</v>
      </c>
      <c r="H85" s="135">
        <v>441500</v>
      </c>
      <c r="I85" s="135">
        <v>0</v>
      </c>
      <c r="J85" s="135">
        <v>504980</v>
      </c>
      <c r="K85" s="135">
        <v>31740</v>
      </c>
      <c r="L85" s="116">
        <f>M85+N85+O85</f>
        <v>473240</v>
      </c>
      <c r="M85" s="135">
        <v>0</v>
      </c>
      <c r="N85" s="135">
        <v>31740</v>
      </c>
      <c r="O85" s="135">
        <v>441500</v>
      </c>
      <c r="P85" s="124"/>
      <c r="Q85" s="124">
        <f t="shared" si="29"/>
        <v>3.1739999999999997E-2</v>
      </c>
      <c r="R85" s="124"/>
      <c r="S85" s="124"/>
      <c r="T85" s="124">
        <f t="shared" si="32"/>
        <v>3.1739999999999997E-2</v>
      </c>
      <c r="U85" s="124">
        <f t="shared" si="32"/>
        <v>0.4415</v>
      </c>
      <c r="V85" s="124"/>
      <c r="W85" s="124">
        <f t="shared" si="33"/>
        <v>3.1739999999999997E-2</v>
      </c>
      <c r="X85" s="124"/>
      <c r="Y85" s="124"/>
      <c r="Z85" s="124">
        <f t="shared" si="34"/>
        <v>3.1739999999999997E-2</v>
      </c>
      <c r="AA85" s="124">
        <f t="shared" si="34"/>
        <v>0.4415</v>
      </c>
      <c r="AB85" s="124"/>
      <c r="AC85" s="124"/>
      <c r="AD85" s="124"/>
      <c r="AE85" s="124"/>
      <c r="AF85" s="28"/>
      <c r="AG85" s="30">
        <f t="shared" si="31"/>
        <v>100.00000000000001</v>
      </c>
      <c r="AH85" s="236"/>
    </row>
    <row r="86" spans="1:34" s="37" customFormat="1" x14ac:dyDescent="0.25">
      <c r="A86" s="108" t="s">
        <v>129</v>
      </c>
      <c r="B86" s="32">
        <v>62118549.049999997</v>
      </c>
      <c r="C86" s="32">
        <v>100000</v>
      </c>
      <c r="D86" s="32">
        <v>58098000</v>
      </c>
      <c r="E86" s="110">
        <f>F86+G86+H86-E87</f>
        <v>4020549.05</v>
      </c>
      <c r="F86" s="32">
        <v>3257584.05</v>
      </c>
      <c r="G86" s="32">
        <v>812965</v>
      </c>
      <c r="H86" s="32">
        <v>50000</v>
      </c>
      <c r="I86" s="32">
        <v>60301307.969999999</v>
      </c>
      <c r="J86" s="32">
        <v>0</v>
      </c>
      <c r="K86" s="32">
        <v>56484728.090000004</v>
      </c>
      <c r="L86" s="110">
        <f>M86+N86+O86-L87</f>
        <v>3816579.88</v>
      </c>
      <c r="M86" s="32">
        <v>3231274.18</v>
      </c>
      <c r="N86" s="32">
        <v>585305.69999999995</v>
      </c>
      <c r="O86" s="32">
        <v>0</v>
      </c>
      <c r="P86" s="34">
        <f t="shared" si="24"/>
        <v>62.118549049999999</v>
      </c>
      <c r="Q86" s="34">
        <f t="shared" si="29"/>
        <v>58.097999999999999</v>
      </c>
      <c r="R86" s="34">
        <f>E86/1000000</f>
        <v>4.0205490499999996</v>
      </c>
      <c r="S86" s="34">
        <f>F86/1000000</f>
        <v>3.2575840499999997</v>
      </c>
      <c r="T86" s="34">
        <f t="shared" si="26"/>
        <v>0.81296500000000005</v>
      </c>
      <c r="U86" s="34">
        <f t="shared" si="26"/>
        <v>0.05</v>
      </c>
      <c r="V86" s="34">
        <f t="shared" si="26"/>
        <v>60.301307969999996</v>
      </c>
      <c r="W86" s="34">
        <f t="shared" si="22"/>
        <v>56.484728090000004</v>
      </c>
      <c r="X86" s="34">
        <f>L86/1000000</f>
        <v>3.8165798799999999</v>
      </c>
      <c r="Y86" s="34">
        <f>M86/1000000</f>
        <v>3.2312741800000002</v>
      </c>
      <c r="Z86" s="34">
        <f t="shared" si="22"/>
        <v>0.58530569999999993</v>
      </c>
      <c r="AA86" s="34">
        <f t="shared" si="22"/>
        <v>0</v>
      </c>
      <c r="AB86" s="34">
        <f>V86/P86%</f>
        <v>97.074559680173351</v>
      </c>
      <c r="AC86" s="34">
        <f t="shared" si="30"/>
        <v>97.223188560707783</v>
      </c>
      <c r="AD86" s="34">
        <f>X86/R86%</f>
        <v>94.926832940889014</v>
      </c>
      <c r="AE86" s="34">
        <f>Y86/S86%</f>
        <v>99.192350232682429</v>
      </c>
      <c r="AF86" s="34">
        <f>Z86/T86%</f>
        <v>71.996420510108052</v>
      </c>
      <c r="AG86" s="35">
        <f>AA86/U86%</f>
        <v>0</v>
      </c>
      <c r="AH86" s="237"/>
    </row>
    <row r="87" spans="1:34" ht="12.75" hidden="1" x14ac:dyDescent="0.2">
      <c r="A87" s="111" t="s">
        <v>110</v>
      </c>
      <c r="B87" s="136">
        <v>0</v>
      </c>
      <c r="C87" s="136">
        <v>100000</v>
      </c>
      <c r="D87" s="136">
        <v>0</v>
      </c>
      <c r="E87" s="116">
        <f>F87+G87+H87</f>
        <v>100000</v>
      </c>
      <c r="F87" s="136">
        <v>0</v>
      </c>
      <c r="G87" s="136">
        <v>50000</v>
      </c>
      <c r="H87" s="136">
        <v>50000</v>
      </c>
      <c r="I87" s="136">
        <v>0</v>
      </c>
      <c r="J87" s="136">
        <v>0</v>
      </c>
      <c r="K87" s="136">
        <v>0</v>
      </c>
      <c r="L87" s="116">
        <f>M87+N87+O87</f>
        <v>0</v>
      </c>
      <c r="M87" s="136">
        <v>0</v>
      </c>
      <c r="N87" s="136">
        <v>0</v>
      </c>
      <c r="O87" s="136">
        <v>0</v>
      </c>
      <c r="P87" s="28"/>
      <c r="Q87" s="28">
        <f t="shared" si="29"/>
        <v>0</v>
      </c>
      <c r="R87" s="28"/>
      <c r="S87" s="28"/>
      <c r="T87" s="28">
        <f t="shared" si="26"/>
        <v>0.05</v>
      </c>
      <c r="U87" s="28"/>
      <c r="V87" s="28"/>
      <c r="W87" s="28">
        <f t="shared" si="22"/>
        <v>0</v>
      </c>
      <c r="X87" s="28"/>
      <c r="Y87" s="28"/>
      <c r="Z87" s="28">
        <f t="shared" si="22"/>
        <v>0</v>
      </c>
      <c r="AA87" s="28"/>
      <c r="AB87" s="28"/>
      <c r="AC87" s="28"/>
      <c r="AD87" s="34"/>
      <c r="AE87" s="34"/>
      <c r="AF87" s="28">
        <f t="shared" ref="AF87:AG92" si="36">Z87/T87%</f>
        <v>0</v>
      </c>
      <c r="AG87" s="35"/>
      <c r="AH87" s="237"/>
    </row>
    <row r="88" spans="1:34" s="37" customFormat="1" x14ac:dyDescent="0.25">
      <c r="A88" s="108" t="s">
        <v>130</v>
      </c>
      <c r="B88" s="32">
        <v>25268133807.18</v>
      </c>
      <c r="C88" s="32">
        <v>13360594710.24</v>
      </c>
      <c r="D88" s="32">
        <v>18237621844.779999</v>
      </c>
      <c r="E88" s="110">
        <f>F88+G88+H88-E89</f>
        <v>20390856672.639999</v>
      </c>
      <c r="F88" s="32">
        <v>10613101074.040001</v>
      </c>
      <c r="G88" s="32">
        <v>9776196489.1299992</v>
      </c>
      <c r="H88" s="32">
        <v>1809109.47</v>
      </c>
      <c r="I88" s="32">
        <v>24933276963.380001</v>
      </c>
      <c r="J88" s="32">
        <v>13286526894.629999</v>
      </c>
      <c r="K88" s="32">
        <v>18091386925.009998</v>
      </c>
      <c r="L88" s="110">
        <f>M88+N88+O88-L89</f>
        <v>20128166933</v>
      </c>
      <c r="M88" s="32">
        <v>10543862878.809999</v>
      </c>
      <c r="N88" s="32">
        <v>9582968622.0300007</v>
      </c>
      <c r="O88" s="32">
        <v>1585432.16</v>
      </c>
      <c r="P88" s="34">
        <f t="shared" si="24"/>
        <v>25268.133807180002</v>
      </c>
      <c r="Q88" s="34">
        <f t="shared" si="29"/>
        <v>18237.621844779998</v>
      </c>
      <c r="R88" s="34">
        <f>E88/1000000</f>
        <v>20390.856672639999</v>
      </c>
      <c r="S88" s="34">
        <f>F88/1000000</f>
        <v>10613.101074040002</v>
      </c>
      <c r="T88" s="34">
        <f t="shared" si="26"/>
        <v>9776.1964891299995</v>
      </c>
      <c r="U88" s="34">
        <f t="shared" si="26"/>
        <v>1.8091094699999999</v>
      </c>
      <c r="V88" s="34">
        <f t="shared" si="26"/>
        <v>24933.276963380002</v>
      </c>
      <c r="W88" s="34">
        <f t="shared" si="22"/>
        <v>18091.38692501</v>
      </c>
      <c r="X88" s="34">
        <f>L88/1000000</f>
        <v>20128.166933</v>
      </c>
      <c r="Y88" s="34">
        <f>M88/1000000</f>
        <v>10543.86287881</v>
      </c>
      <c r="Z88" s="34">
        <f t="shared" si="22"/>
        <v>9582.9686220300009</v>
      </c>
      <c r="AA88" s="34">
        <f t="shared" si="22"/>
        <v>1.5854321599999999</v>
      </c>
      <c r="AB88" s="34">
        <f t="shared" ref="AB88:AB100" si="37">V88/P88%</f>
        <v>98.674786011680652</v>
      </c>
      <c r="AC88" s="34">
        <f t="shared" si="30"/>
        <v>99.198168922381441</v>
      </c>
      <c r="AD88" s="34">
        <f>X88/R88%</f>
        <v>98.711727791248379</v>
      </c>
      <c r="AE88" s="34">
        <f>Y88/S88%</f>
        <v>99.347615793470951</v>
      </c>
      <c r="AF88" s="34">
        <f t="shared" si="36"/>
        <v>98.023486257514918</v>
      </c>
      <c r="AG88" s="35">
        <f>AA88/U88%</f>
        <v>87.63605443953594</v>
      </c>
      <c r="AH88" s="237"/>
    </row>
    <row r="89" spans="1:34" ht="12.75" hidden="1" x14ac:dyDescent="0.2">
      <c r="A89" s="111" t="s">
        <v>110</v>
      </c>
      <c r="B89" s="136">
        <v>0</v>
      </c>
      <c r="C89" s="136">
        <v>13360594710.24</v>
      </c>
      <c r="D89" s="136">
        <v>13360344710.24</v>
      </c>
      <c r="E89" s="116">
        <f>F89+G89+H89</f>
        <v>250000</v>
      </c>
      <c r="F89" s="136">
        <v>0</v>
      </c>
      <c r="G89" s="136">
        <v>250000</v>
      </c>
      <c r="H89" s="136">
        <v>0</v>
      </c>
      <c r="I89" s="136">
        <v>0</v>
      </c>
      <c r="J89" s="136">
        <v>13286526894.629999</v>
      </c>
      <c r="K89" s="136">
        <v>13286276894.629999</v>
      </c>
      <c r="L89" s="116">
        <f>M89+N89+O89</f>
        <v>250000</v>
      </c>
      <c r="M89" s="136">
        <v>0</v>
      </c>
      <c r="N89" s="136">
        <v>250000</v>
      </c>
      <c r="O89" s="136">
        <v>0</v>
      </c>
      <c r="P89" s="28">
        <f t="shared" si="24"/>
        <v>0</v>
      </c>
      <c r="Q89" s="28">
        <f t="shared" si="29"/>
        <v>13360.34471024</v>
      </c>
      <c r="R89" s="34"/>
      <c r="S89" s="28"/>
      <c r="T89" s="28">
        <f t="shared" si="26"/>
        <v>0.25</v>
      </c>
      <c r="U89" s="28">
        <f t="shared" si="26"/>
        <v>0</v>
      </c>
      <c r="V89" s="28">
        <f t="shared" si="26"/>
        <v>0</v>
      </c>
      <c r="W89" s="28">
        <f t="shared" si="22"/>
        <v>13286.276894629998</v>
      </c>
      <c r="X89" s="28"/>
      <c r="Y89" s="28"/>
      <c r="Z89" s="28">
        <f t="shared" si="22"/>
        <v>0.25</v>
      </c>
      <c r="AA89" s="28">
        <f t="shared" si="22"/>
        <v>0</v>
      </c>
      <c r="AB89" s="28" t="e">
        <f t="shared" si="37"/>
        <v>#DIV/0!</v>
      </c>
      <c r="AC89" s="28">
        <f t="shared" si="30"/>
        <v>99.445614486628983</v>
      </c>
      <c r="AD89" s="28"/>
      <c r="AE89" s="28"/>
      <c r="AF89" s="28">
        <f t="shared" si="36"/>
        <v>100</v>
      </c>
      <c r="AG89" s="35"/>
      <c r="AH89" s="237"/>
    </row>
    <row r="90" spans="1:34" s="37" customFormat="1" x14ac:dyDescent="0.25">
      <c r="A90" s="108" t="s">
        <v>131</v>
      </c>
      <c r="B90" s="32">
        <v>2519571653.8499999</v>
      </c>
      <c r="C90" s="32">
        <v>130433849.56</v>
      </c>
      <c r="D90" s="32">
        <v>754921921.88</v>
      </c>
      <c r="E90" s="110">
        <f>F90+G90+H90-E91</f>
        <v>1790912964.6700003</v>
      </c>
      <c r="F90" s="32">
        <v>717931822.76999998</v>
      </c>
      <c r="G90" s="32">
        <v>676699057.82000005</v>
      </c>
      <c r="H90" s="32">
        <v>500452700.94</v>
      </c>
      <c r="I90" s="32">
        <v>2488138841.98</v>
      </c>
      <c r="J90" s="32">
        <v>127144698.93000001</v>
      </c>
      <c r="K90" s="32">
        <v>754650905.70000005</v>
      </c>
      <c r="L90" s="110">
        <f>M90+N90+O90-L91</f>
        <v>1759751163.03</v>
      </c>
      <c r="M90" s="32">
        <v>712730563.33000004</v>
      </c>
      <c r="N90" s="32">
        <v>664740041.52999997</v>
      </c>
      <c r="O90" s="32">
        <v>483162030.35000002</v>
      </c>
      <c r="P90" s="34">
        <f t="shared" si="24"/>
        <v>2519.5716538500001</v>
      </c>
      <c r="Q90" s="34">
        <f t="shared" si="29"/>
        <v>754.92192188000001</v>
      </c>
      <c r="R90" s="34">
        <f>E90/1000000</f>
        <v>1790.9129646700003</v>
      </c>
      <c r="S90" s="34">
        <f>F90/1000000</f>
        <v>717.93182276999994</v>
      </c>
      <c r="T90" s="34">
        <f t="shared" si="26"/>
        <v>676.69905782000001</v>
      </c>
      <c r="U90" s="34">
        <f t="shared" si="26"/>
        <v>500.45270094</v>
      </c>
      <c r="V90" s="34">
        <f t="shared" si="26"/>
        <v>2488.1388419800001</v>
      </c>
      <c r="W90" s="34">
        <f t="shared" si="22"/>
        <v>754.65090570000007</v>
      </c>
      <c r="X90" s="34">
        <f>L90/1000000</f>
        <v>1759.75116303</v>
      </c>
      <c r="Y90" s="34">
        <f>M90/1000000</f>
        <v>712.73056333</v>
      </c>
      <c r="Z90" s="34">
        <f t="shared" si="22"/>
        <v>664.74004152999998</v>
      </c>
      <c r="AA90" s="34">
        <f t="shared" si="22"/>
        <v>483.16203035000001</v>
      </c>
      <c r="AB90" s="34">
        <f t="shared" si="37"/>
        <v>98.752454139497502</v>
      </c>
      <c r="AC90" s="34">
        <f t="shared" si="30"/>
        <v>99.964100104640622</v>
      </c>
      <c r="AD90" s="34">
        <f>X90/R90%</f>
        <v>98.260004687288529</v>
      </c>
      <c r="AE90" s="34">
        <f>Y90/S90%</f>
        <v>99.27552181488042</v>
      </c>
      <c r="AF90" s="34">
        <f t="shared" si="36"/>
        <v>98.232742287461406</v>
      </c>
      <c r="AG90" s="35">
        <f>AA90/U90%</f>
        <v>96.544994050881741</v>
      </c>
      <c r="AH90" s="237"/>
    </row>
    <row r="91" spans="1:34" ht="12.75" hidden="1" x14ac:dyDescent="0.2">
      <c r="A91" s="111" t="s">
        <v>110</v>
      </c>
      <c r="B91" s="136">
        <v>0</v>
      </c>
      <c r="C91" s="136">
        <v>130433849.56</v>
      </c>
      <c r="D91" s="136">
        <v>26263232.699999999</v>
      </c>
      <c r="E91" s="116">
        <f>F91+G91+H91</f>
        <v>104170616.86</v>
      </c>
      <c r="F91" s="136">
        <v>0</v>
      </c>
      <c r="G91" s="136">
        <v>39952076.460000001</v>
      </c>
      <c r="H91" s="136">
        <v>64218540.399999999</v>
      </c>
      <c r="I91" s="136">
        <v>0</v>
      </c>
      <c r="J91" s="136">
        <v>127144698.93000001</v>
      </c>
      <c r="K91" s="136">
        <v>26263226.75</v>
      </c>
      <c r="L91" s="116">
        <f>M91+N91+O91</f>
        <v>100881472.18000001</v>
      </c>
      <c r="M91" s="136">
        <v>0</v>
      </c>
      <c r="N91" s="136">
        <v>37448048.439999998</v>
      </c>
      <c r="O91" s="136">
        <v>63433423.740000002</v>
      </c>
      <c r="P91" s="28">
        <f t="shared" si="24"/>
        <v>0</v>
      </c>
      <c r="Q91" s="28">
        <f t="shared" si="29"/>
        <v>26.2632327</v>
      </c>
      <c r="R91" s="28"/>
      <c r="S91" s="28"/>
      <c r="T91" s="28">
        <f t="shared" si="26"/>
        <v>39.952076460000001</v>
      </c>
      <c r="U91" s="28">
        <f t="shared" si="26"/>
        <v>64.218540399999995</v>
      </c>
      <c r="V91" s="28"/>
      <c r="W91" s="28">
        <f t="shared" si="22"/>
        <v>26.263226750000001</v>
      </c>
      <c r="X91" s="28"/>
      <c r="Y91" s="28"/>
      <c r="Z91" s="28">
        <f t="shared" si="22"/>
        <v>37.448048440000001</v>
      </c>
      <c r="AA91" s="28">
        <f t="shared" si="22"/>
        <v>63.433423740000002</v>
      </c>
      <c r="AB91" s="28"/>
      <c r="AC91" s="28">
        <f t="shared" si="30"/>
        <v>99.999977344753916</v>
      </c>
      <c r="AD91" s="28"/>
      <c r="AE91" s="28"/>
      <c r="AF91" s="28">
        <f t="shared" si="36"/>
        <v>93.732420835480141</v>
      </c>
      <c r="AG91" s="35">
        <f t="shared" si="36"/>
        <v>98.777429921157179</v>
      </c>
      <c r="AH91" s="237"/>
    </row>
    <row r="92" spans="1:34" s="37" customFormat="1" x14ac:dyDescent="0.25">
      <c r="A92" s="108" t="s">
        <v>132</v>
      </c>
      <c r="B92" s="32">
        <v>14003757524.540001</v>
      </c>
      <c r="C92" s="32">
        <v>0</v>
      </c>
      <c r="D92" s="32">
        <v>14003031111.690001</v>
      </c>
      <c r="E92" s="110">
        <f>F92+G92+H92-E93</f>
        <v>726412.85</v>
      </c>
      <c r="F92" s="32">
        <v>113800</v>
      </c>
      <c r="G92" s="32">
        <v>612612.85</v>
      </c>
      <c r="H92" s="32">
        <v>0</v>
      </c>
      <c r="I92" s="32">
        <v>13969248195.91</v>
      </c>
      <c r="J92" s="32">
        <v>0</v>
      </c>
      <c r="K92" s="32">
        <v>13968587041.059999</v>
      </c>
      <c r="L92" s="110">
        <f>M92+N92+O92-L93</f>
        <v>661154.85</v>
      </c>
      <c r="M92" s="32">
        <v>113542</v>
      </c>
      <c r="N92" s="32">
        <v>547612.85</v>
      </c>
      <c r="O92" s="32">
        <v>0</v>
      </c>
      <c r="P92" s="34">
        <f t="shared" si="24"/>
        <v>14003.75752454</v>
      </c>
      <c r="Q92" s="34">
        <f t="shared" si="29"/>
        <v>14003.031111690001</v>
      </c>
      <c r="R92" s="34">
        <f>E92/1000000</f>
        <v>0.72641285</v>
      </c>
      <c r="S92" s="34">
        <f>F92/1000000</f>
        <v>0.1138</v>
      </c>
      <c r="T92" s="34">
        <f>G92/1000000</f>
        <v>0.61261284999999999</v>
      </c>
      <c r="U92" s="34">
        <f>H92/1000000</f>
        <v>0</v>
      </c>
      <c r="V92" s="34">
        <f t="shared" si="26"/>
        <v>13969.248195910001</v>
      </c>
      <c r="W92" s="34">
        <f t="shared" si="22"/>
        <v>13968.58704106</v>
      </c>
      <c r="X92" s="34">
        <f t="shared" si="22"/>
        <v>0.66115484999999996</v>
      </c>
      <c r="Y92" s="34">
        <f t="shared" si="22"/>
        <v>0.113542</v>
      </c>
      <c r="Z92" s="34">
        <f t="shared" si="22"/>
        <v>0.54761284999999993</v>
      </c>
      <c r="AA92" s="34">
        <f t="shared" si="22"/>
        <v>0</v>
      </c>
      <c r="AB92" s="34">
        <f t="shared" si="37"/>
        <v>99.753570935732597</v>
      </c>
      <c r="AC92" s="34">
        <f t="shared" si="30"/>
        <v>99.754024179798861</v>
      </c>
      <c r="AD92" s="34">
        <f>X92/R92%</f>
        <v>91.016403413017812</v>
      </c>
      <c r="AE92" s="34">
        <f>Y92/S92%</f>
        <v>99.773286467486827</v>
      </c>
      <c r="AF92" s="34">
        <f t="shared" si="36"/>
        <v>89.389709993840313</v>
      </c>
      <c r="AG92" s="137" t="s">
        <v>82</v>
      </c>
      <c r="AH92" s="247"/>
    </row>
    <row r="93" spans="1:34" ht="12.75" hidden="1" x14ac:dyDescent="0.2">
      <c r="A93" s="111" t="s">
        <v>110</v>
      </c>
      <c r="B93" s="133">
        <v>167690100</v>
      </c>
      <c r="C93" s="133">
        <v>0</v>
      </c>
      <c r="D93" s="133">
        <v>167690100</v>
      </c>
      <c r="E93" s="116">
        <f>F93+G93+H93</f>
        <v>0</v>
      </c>
      <c r="F93" s="138">
        <v>0</v>
      </c>
      <c r="G93" s="139">
        <v>0</v>
      </c>
      <c r="H93" s="139">
        <v>0</v>
      </c>
      <c r="I93" s="139">
        <v>167690100</v>
      </c>
      <c r="J93" s="139">
        <v>0</v>
      </c>
      <c r="K93" s="139">
        <v>167690100</v>
      </c>
      <c r="L93" s="116">
        <f>M93+N93+O93</f>
        <v>0</v>
      </c>
      <c r="M93" s="133">
        <v>0</v>
      </c>
      <c r="N93" s="133">
        <v>0</v>
      </c>
      <c r="O93" s="133">
        <v>0</v>
      </c>
      <c r="P93" s="28">
        <v>0</v>
      </c>
      <c r="Q93" s="28">
        <f t="shared" si="29"/>
        <v>167.6901</v>
      </c>
      <c r="R93" s="28"/>
      <c r="S93" s="28">
        <f t="shared" ref="R93:T94" si="38">F93/1000000</f>
        <v>0</v>
      </c>
      <c r="T93" s="28">
        <f t="shared" si="38"/>
        <v>0</v>
      </c>
      <c r="U93" s="28">
        <f>H93/1000000</f>
        <v>0</v>
      </c>
      <c r="V93" s="28">
        <f t="shared" si="26"/>
        <v>167.6901</v>
      </c>
      <c r="W93" s="28">
        <f t="shared" si="22"/>
        <v>167.6901</v>
      </c>
      <c r="X93" s="28"/>
      <c r="Y93" s="28">
        <f t="shared" si="22"/>
        <v>0</v>
      </c>
      <c r="Z93" s="28">
        <f t="shared" si="22"/>
        <v>0</v>
      </c>
      <c r="AA93" s="34">
        <f t="shared" si="22"/>
        <v>0</v>
      </c>
      <c r="AB93" s="28"/>
      <c r="AC93" s="28">
        <f t="shared" si="30"/>
        <v>100</v>
      </c>
      <c r="AD93" s="28"/>
      <c r="AE93" s="28"/>
      <c r="AF93" s="28"/>
      <c r="AG93" s="35"/>
      <c r="AH93" s="237"/>
    </row>
    <row r="94" spans="1:34" x14ac:dyDescent="0.25">
      <c r="A94" s="134" t="s">
        <v>133</v>
      </c>
      <c r="B94" s="118">
        <v>3786063716.2199998</v>
      </c>
      <c r="C94" s="118">
        <v>0</v>
      </c>
      <c r="D94" s="118">
        <v>3786063716.2199998</v>
      </c>
      <c r="E94" s="110">
        <f>F94+G94+H94</f>
        <v>0</v>
      </c>
      <c r="F94" s="118">
        <v>0</v>
      </c>
      <c r="G94" s="118">
        <v>0</v>
      </c>
      <c r="H94" s="118">
        <v>0</v>
      </c>
      <c r="I94" s="133">
        <v>3782795534.0100002</v>
      </c>
      <c r="J94" s="133">
        <v>0</v>
      </c>
      <c r="K94" s="133">
        <v>3782795534.0100002</v>
      </c>
      <c r="L94" s="110">
        <f>M94+N94+O94</f>
        <v>0</v>
      </c>
      <c r="M94" s="133">
        <v>0</v>
      </c>
      <c r="N94" s="133">
        <v>0</v>
      </c>
      <c r="O94" s="133">
        <v>0</v>
      </c>
      <c r="P94" s="28">
        <f>B94/1000000</f>
        <v>3786.0637162199996</v>
      </c>
      <c r="Q94" s="28">
        <f t="shared" si="29"/>
        <v>3786.0637162199996</v>
      </c>
      <c r="R94" s="28">
        <f t="shared" si="38"/>
        <v>0</v>
      </c>
      <c r="S94" s="28">
        <f t="shared" si="38"/>
        <v>0</v>
      </c>
      <c r="T94" s="28">
        <f t="shared" si="38"/>
        <v>0</v>
      </c>
      <c r="U94" s="28">
        <f>H94/1000000</f>
        <v>0</v>
      </c>
      <c r="V94" s="28">
        <f t="shared" si="26"/>
        <v>3782.7955340100002</v>
      </c>
      <c r="W94" s="28">
        <f t="shared" si="22"/>
        <v>3782.7955340100002</v>
      </c>
      <c r="X94" s="28">
        <f t="shared" si="22"/>
        <v>0</v>
      </c>
      <c r="Y94" s="28">
        <f t="shared" si="22"/>
        <v>0</v>
      </c>
      <c r="Z94" s="28">
        <f>N94/1000000</f>
        <v>0</v>
      </c>
      <c r="AA94" s="28">
        <f t="shared" si="22"/>
        <v>0</v>
      </c>
      <c r="AB94" s="28">
        <f t="shared" si="37"/>
        <v>99.913678626273565</v>
      </c>
      <c r="AC94" s="28">
        <f t="shared" si="30"/>
        <v>99.913678626273565</v>
      </c>
      <c r="AD94" s="51" t="s">
        <v>82</v>
      </c>
      <c r="AE94" s="51" t="s">
        <v>82</v>
      </c>
      <c r="AF94" s="51" t="s">
        <v>82</v>
      </c>
      <c r="AG94" s="46" t="s">
        <v>82</v>
      </c>
      <c r="AH94" s="242"/>
    </row>
    <row r="95" spans="1:34" x14ac:dyDescent="0.25">
      <c r="A95" s="134" t="s">
        <v>134</v>
      </c>
      <c r="B95" s="133">
        <v>184814349.30000001</v>
      </c>
      <c r="C95" s="140">
        <v>0</v>
      </c>
      <c r="D95" s="118">
        <v>184814349.30000001</v>
      </c>
      <c r="E95" s="110">
        <f>F95+G95+H95</f>
        <v>0</v>
      </c>
      <c r="F95" s="133">
        <v>0</v>
      </c>
      <c r="G95" s="133">
        <v>0</v>
      </c>
      <c r="H95" s="133">
        <v>0</v>
      </c>
      <c r="I95" s="118">
        <v>184814349.30000001</v>
      </c>
      <c r="J95" s="118">
        <v>0</v>
      </c>
      <c r="K95" s="118">
        <v>184814349.30000001</v>
      </c>
      <c r="L95" s="110">
        <f>M95+N95+O95</f>
        <v>0</v>
      </c>
      <c r="M95" s="118">
        <v>0</v>
      </c>
      <c r="N95" s="118">
        <v>0</v>
      </c>
      <c r="O95" s="118">
        <v>0</v>
      </c>
      <c r="P95" s="28">
        <f>B95/1000000</f>
        <v>184.8143493</v>
      </c>
      <c r="Q95" s="28">
        <f t="shared" si="29"/>
        <v>184.8143493</v>
      </c>
      <c r="R95" s="28">
        <f>E95/1000000</f>
        <v>0</v>
      </c>
      <c r="S95" s="28">
        <f>F95/1000000</f>
        <v>0</v>
      </c>
      <c r="T95" s="28">
        <f>G95/1000000</f>
        <v>0</v>
      </c>
      <c r="U95" s="28">
        <f>H95/1000000</f>
        <v>0</v>
      </c>
      <c r="V95" s="28">
        <f>I95/1000000</f>
        <v>184.8143493</v>
      </c>
      <c r="W95" s="28">
        <f t="shared" si="22"/>
        <v>184.8143493</v>
      </c>
      <c r="X95" s="28">
        <f>L95/1000000</f>
        <v>0</v>
      </c>
      <c r="Y95" s="28">
        <f>M95/1000000</f>
        <v>0</v>
      </c>
      <c r="Z95" s="28">
        <f>N95/1000000</f>
        <v>0</v>
      </c>
      <c r="AA95" s="28">
        <f t="shared" si="22"/>
        <v>0</v>
      </c>
      <c r="AB95" s="28">
        <f t="shared" si="37"/>
        <v>100</v>
      </c>
      <c r="AC95" s="28">
        <f t="shared" si="30"/>
        <v>100</v>
      </c>
      <c r="AD95" s="51" t="s">
        <v>82</v>
      </c>
      <c r="AE95" s="51" t="s">
        <v>82</v>
      </c>
      <c r="AF95" s="51" t="s">
        <v>82</v>
      </c>
      <c r="AG95" s="46" t="s">
        <v>82</v>
      </c>
      <c r="AH95" s="242"/>
    </row>
    <row r="96" spans="1:34" ht="13.95" customHeight="1" x14ac:dyDescent="0.25">
      <c r="A96" s="111" t="s">
        <v>135</v>
      </c>
      <c r="B96" s="118">
        <v>9758177059.0200005</v>
      </c>
      <c r="C96" s="118">
        <v>0</v>
      </c>
      <c r="D96" s="118">
        <v>9757550646.1700001</v>
      </c>
      <c r="E96" s="110">
        <f>F96+G96+H96-E97</f>
        <v>626412.85</v>
      </c>
      <c r="F96" s="118">
        <v>113800</v>
      </c>
      <c r="G96" s="118">
        <v>512612.85</v>
      </c>
      <c r="H96" s="118">
        <v>0</v>
      </c>
      <c r="I96" s="118">
        <v>9727000912.6000004</v>
      </c>
      <c r="J96" s="118">
        <v>0</v>
      </c>
      <c r="K96" s="118">
        <v>9726374757.75</v>
      </c>
      <c r="L96" s="110">
        <f>M96+N96+O96-L97</f>
        <v>626154.85</v>
      </c>
      <c r="M96" s="118">
        <v>113542</v>
      </c>
      <c r="N96" s="118">
        <v>512612.85</v>
      </c>
      <c r="O96" s="118">
        <v>0</v>
      </c>
      <c r="P96" s="28">
        <f t="shared" ref="P96:P112" si="39">B96/1000000</f>
        <v>9758.1770590200013</v>
      </c>
      <c r="Q96" s="28">
        <f t="shared" ref="Q96:V112" si="40">D96/1000000</f>
        <v>9757.5506461700006</v>
      </c>
      <c r="R96" s="28">
        <f>E96/1000000</f>
        <v>0.62641285000000002</v>
      </c>
      <c r="S96" s="28">
        <f>F96/1000000</f>
        <v>0.1138</v>
      </c>
      <c r="T96" s="28">
        <f t="shared" ref="T96:V109" si="41">G96/1000000</f>
        <v>0.51261285000000001</v>
      </c>
      <c r="U96" s="28">
        <f>H96/1000000</f>
        <v>0</v>
      </c>
      <c r="V96" s="28">
        <f t="shared" ref="V96:V100" si="42">I96/1000000</f>
        <v>9727.0009126000004</v>
      </c>
      <c r="W96" s="28">
        <f>K96/1000000</f>
        <v>9726.3747577499998</v>
      </c>
      <c r="X96" s="28">
        <f>L96/1000000</f>
        <v>0.62615484999999993</v>
      </c>
      <c r="Y96" s="28">
        <f>M96/1000000</f>
        <v>0.113542</v>
      </c>
      <c r="Z96" s="28">
        <f t="shared" ref="Z96:AA110" si="43">N96/1000000</f>
        <v>0.51261285000000001</v>
      </c>
      <c r="AA96" s="28">
        <f>O96/1000000</f>
        <v>0</v>
      </c>
      <c r="AB96" s="28">
        <f t="shared" si="37"/>
        <v>99.680512597471449</v>
      </c>
      <c r="AC96" s="28">
        <f t="shared" si="30"/>
        <v>99.680494731203495</v>
      </c>
      <c r="AD96" s="28">
        <f>X96/R96%</f>
        <v>99.958813105446339</v>
      </c>
      <c r="AE96" s="28">
        <f>Y96/S96%</f>
        <v>99.773286467486827</v>
      </c>
      <c r="AF96" s="28">
        <f>Z96/T96%</f>
        <v>100</v>
      </c>
      <c r="AG96" s="137" t="s">
        <v>82</v>
      </c>
      <c r="AH96" s="247"/>
    </row>
    <row r="97" spans="1:34" s="127" customFormat="1" ht="12.75" hidden="1" x14ac:dyDescent="0.2">
      <c r="A97" s="121" t="s">
        <v>116</v>
      </c>
      <c r="B97" s="118">
        <v>167690100</v>
      </c>
      <c r="C97" s="118">
        <v>0</v>
      </c>
      <c r="D97" s="118">
        <v>167690100</v>
      </c>
      <c r="E97" s="116">
        <f>F97+G97+H97</f>
        <v>0</v>
      </c>
      <c r="F97" s="131">
        <v>0</v>
      </c>
      <c r="G97" s="131">
        <v>0</v>
      </c>
      <c r="H97" s="131">
        <v>0</v>
      </c>
      <c r="I97" s="118">
        <v>167690100</v>
      </c>
      <c r="J97" s="118">
        <v>0</v>
      </c>
      <c r="K97" s="118">
        <v>167690100</v>
      </c>
      <c r="L97" s="116">
        <f>M97+N97+O97</f>
        <v>0</v>
      </c>
      <c r="M97" s="118">
        <v>0</v>
      </c>
      <c r="N97" s="118">
        <v>0</v>
      </c>
      <c r="O97" s="118">
        <v>0</v>
      </c>
      <c r="P97" s="28">
        <f t="shared" si="39"/>
        <v>167.6901</v>
      </c>
      <c r="Q97" s="28">
        <f t="shared" si="40"/>
        <v>167.6901</v>
      </c>
      <c r="R97" s="28"/>
      <c r="S97" s="28"/>
      <c r="T97" s="28">
        <f t="shared" si="41"/>
        <v>0</v>
      </c>
      <c r="U97" s="28"/>
      <c r="V97" s="28">
        <f t="shared" si="42"/>
        <v>167.6901</v>
      </c>
      <c r="W97" s="28">
        <f>K97/1000000</f>
        <v>167.6901</v>
      </c>
      <c r="X97" s="28"/>
      <c r="Y97" s="28"/>
      <c r="Z97" s="28">
        <f t="shared" si="43"/>
        <v>0</v>
      </c>
      <c r="AA97" s="28"/>
      <c r="AB97" s="28">
        <f t="shared" si="37"/>
        <v>100</v>
      </c>
      <c r="AC97" s="28">
        <f t="shared" si="30"/>
        <v>100</v>
      </c>
      <c r="AD97" s="28"/>
      <c r="AE97" s="28"/>
      <c r="AF97" s="28"/>
      <c r="AG97" s="30"/>
      <c r="AH97" s="236"/>
    </row>
    <row r="98" spans="1:34" s="37" customFormat="1" x14ac:dyDescent="0.25">
      <c r="A98" s="108" t="s">
        <v>136</v>
      </c>
      <c r="B98" s="32">
        <v>13202218397.450001</v>
      </c>
      <c r="C98" s="32">
        <v>1655951374.1800001</v>
      </c>
      <c r="D98" s="32">
        <v>12448490922.66</v>
      </c>
      <c r="E98" s="110">
        <f>F98+G98+H98-E99</f>
        <v>2283619392.6699996</v>
      </c>
      <c r="F98" s="32">
        <v>1754074089.4300001</v>
      </c>
      <c r="G98" s="32">
        <v>515863661.23000002</v>
      </c>
      <c r="H98" s="32">
        <v>139741098.31</v>
      </c>
      <c r="I98" s="32">
        <v>12536497507.209999</v>
      </c>
      <c r="J98" s="32">
        <v>1554634701.55</v>
      </c>
      <c r="K98" s="32">
        <v>12078512439.82</v>
      </c>
      <c r="L98" s="110">
        <f>M98+N98+O98-L99</f>
        <v>1889552877.6100001</v>
      </c>
      <c r="M98" s="32">
        <v>1378995763.54</v>
      </c>
      <c r="N98" s="32">
        <v>497834471.14999998</v>
      </c>
      <c r="O98" s="32">
        <v>135789534.25</v>
      </c>
      <c r="P98" s="34">
        <f t="shared" si="39"/>
        <v>13202.21839745</v>
      </c>
      <c r="Q98" s="34">
        <f t="shared" si="40"/>
        <v>12448.490922659999</v>
      </c>
      <c r="R98" s="34">
        <f>E98/1000000</f>
        <v>2283.6193926699998</v>
      </c>
      <c r="S98" s="34">
        <f>F98/1000000</f>
        <v>1754.07408943</v>
      </c>
      <c r="T98" s="34">
        <f t="shared" si="41"/>
        <v>515.86366123000005</v>
      </c>
      <c r="U98" s="34">
        <f>H98/1000000</f>
        <v>139.74109831000001</v>
      </c>
      <c r="V98" s="34">
        <f t="shared" si="42"/>
        <v>12536.497507209999</v>
      </c>
      <c r="W98" s="34">
        <f>K98/1000000</f>
        <v>12078.512439820001</v>
      </c>
      <c r="X98" s="34">
        <f>L98/1000000</f>
        <v>1889.5528776100002</v>
      </c>
      <c r="Y98" s="34">
        <f>M98/1000000</f>
        <v>1378.9957635399999</v>
      </c>
      <c r="Z98" s="34">
        <f t="shared" si="43"/>
        <v>497.83447114999996</v>
      </c>
      <c r="AA98" s="34">
        <f t="shared" si="43"/>
        <v>135.78953425</v>
      </c>
      <c r="AB98" s="34">
        <f t="shared" si="37"/>
        <v>94.957507365818273</v>
      </c>
      <c r="AC98" s="34">
        <f t="shared" si="30"/>
        <v>97.02792503012131</v>
      </c>
      <c r="AD98" s="34">
        <f>X98/R98%</f>
        <v>82.743774364288512</v>
      </c>
      <c r="AE98" s="34">
        <f>Y98/S98%</f>
        <v>78.616734141949223</v>
      </c>
      <c r="AF98" s="34">
        <f>Z98/T98%</f>
        <v>96.50504746990471</v>
      </c>
      <c r="AG98" s="35">
        <f>AA98/U98%</f>
        <v>97.172224844523612</v>
      </c>
      <c r="AH98" s="237"/>
    </row>
    <row r="99" spans="1:34" ht="12.75" hidden="1" x14ac:dyDescent="0.2">
      <c r="A99" s="111" t="s">
        <v>110</v>
      </c>
      <c r="B99" s="136">
        <v>25325000</v>
      </c>
      <c r="C99" s="136">
        <v>1655951374.1800001</v>
      </c>
      <c r="D99" s="136">
        <v>1555216917.8800001</v>
      </c>
      <c r="E99" s="116">
        <f>F99+G99+H99</f>
        <v>126059456.3</v>
      </c>
      <c r="F99" s="136">
        <v>0</v>
      </c>
      <c r="G99" s="136">
        <v>125959456.3</v>
      </c>
      <c r="H99" s="136">
        <v>100000</v>
      </c>
      <c r="I99" s="136">
        <v>24636685.850000001</v>
      </c>
      <c r="J99" s="136">
        <v>1554634701.55</v>
      </c>
      <c r="K99" s="136">
        <v>1456204496.0699999</v>
      </c>
      <c r="L99" s="116">
        <f>M99+N99+O99</f>
        <v>123066891.33</v>
      </c>
      <c r="M99" s="136">
        <v>0</v>
      </c>
      <c r="N99" s="136">
        <v>122966891.33</v>
      </c>
      <c r="O99" s="136">
        <v>100000</v>
      </c>
      <c r="P99" s="28">
        <f t="shared" si="39"/>
        <v>25.324999999999999</v>
      </c>
      <c r="Q99" s="28">
        <f t="shared" si="40"/>
        <v>1555.2169178800002</v>
      </c>
      <c r="R99" s="28"/>
      <c r="S99" s="28"/>
      <c r="T99" s="28">
        <f t="shared" si="41"/>
        <v>125.9594563</v>
      </c>
      <c r="U99" s="28">
        <f>H99/1000000</f>
        <v>0.1</v>
      </c>
      <c r="V99" s="28">
        <f t="shared" si="42"/>
        <v>24.636685850000003</v>
      </c>
      <c r="W99" s="28">
        <f>K99/1000000</f>
        <v>1456.20449607</v>
      </c>
      <c r="X99" s="28"/>
      <c r="Y99" s="28"/>
      <c r="Z99" s="28">
        <f t="shared" si="43"/>
        <v>122.96689133</v>
      </c>
      <c r="AA99" s="28">
        <f t="shared" si="43"/>
        <v>0.1</v>
      </c>
      <c r="AB99" s="28">
        <f t="shared" si="37"/>
        <v>97.282076406712761</v>
      </c>
      <c r="AC99" s="28">
        <f t="shared" si="30"/>
        <v>93.633529787923777</v>
      </c>
      <c r="AD99" s="34"/>
      <c r="AE99" s="34"/>
      <c r="AF99" s="28">
        <f t="shared" ref="AF99:AG110" si="44">Z99/T99%</f>
        <v>97.624183957358028</v>
      </c>
      <c r="AG99" s="30">
        <f>AA99/U99%</f>
        <v>100</v>
      </c>
      <c r="AH99" s="236"/>
    </row>
    <row r="100" spans="1:34" s="37" customFormat="1" x14ac:dyDescent="0.25">
      <c r="A100" s="108" t="s">
        <v>137</v>
      </c>
      <c r="B100" s="32">
        <v>838904473.98000002</v>
      </c>
      <c r="C100" s="32">
        <v>212038644.80000001</v>
      </c>
      <c r="D100" s="32">
        <v>697031436.83000004</v>
      </c>
      <c r="E100" s="110">
        <f>F100+G100+H100-E101</f>
        <v>348269014.81000006</v>
      </c>
      <c r="F100" s="32">
        <v>316131005.30000001</v>
      </c>
      <c r="G100" s="32">
        <v>24344977.350000001</v>
      </c>
      <c r="H100" s="32">
        <v>13435699.300000001</v>
      </c>
      <c r="I100" s="32">
        <v>735285226.15999997</v>
      </c>
      <c r="J100" s="32">
        <v>194878135.47999999</v>
      </c>
      <c r="K100" s="32">
        <v>609927977.26999998</v>
      </c>
      <c r="L100" s="110">
        <f>M100+N100+O100-L101</f>
        <v>314708292.73000002</v>
      </c>
      <c r="M100" s="32">
        <v>284035414.29000002</v>
      </c>
      <c r="N100" s="32">
        <v>23753639.690000001</v>
      </c>
      <c r="O100" s="32">
        <v>12446330.390000001</v>
      </c>
      <c r="P100" s="34">
        <f t="shared" si="39"/>
        <v>838.90447398000003</v>
      </c>
      <c r="Q100" s="34">
        <f t="shared" si="40"/>
        <v>697.03143683000008</v>
      </c>
      <c r="R100" s="34">
        <f>E100/1000000</f>
        <v>348.26901481000004</v>
      </c>
      <c r="S100" s="34">
        <f>F100/1000000</f>
        <v>316.13100530000003</v>
      </c>
      <c r="T100" s="34">
        <f t="shared" si="41"/>
        <v>24.344977350000001</v>
      </c>
      <c r="U100" s="34">
        <f>H100/1000000</f>
        <v>13.435699300000001</v>
      </c>
      <c r="V100" s="34">
        <f t="shared" si="42"/>
        <v>735.28522615999998</v>
      </c>
      <c r="W100" s="34">
        <f>K100/1000000</f>
        <v>609.92797726999993</v>
      </c>
      <c r="X100" s="34">
        <f>L100/1000000</f>
        <v>314.70829273000004</v>
      </c>
      <c r="Y100" s="34">
        <f>M100/1000000</f>
        <v>284.03541429000001</v>
      </c>
      <c r="Z100" s="34">
        <f t="shared" si="43"/>
        <v>23.75363969</v>
      </c>
      <c r="AA100" s="34">
        <f t="shared" si="43"/>
        <v>12.44633039</v>
      </c>
      <c r="AB100" s="34">
        <f t="shared" si="37"/>
        <v>87.648266157361022</v>
      </c>
      <c r="AC100" s="34">
        <f t="shared" si="30"/>
        <v>87.503654073891667</v>
      </c>
      <c r="AD100" s="34">
        <f>X100/R100%</f>
        <v>90.363563609496168</v>
      </c>
      <c r="AE100" s="34">
        <f>Y100/S100%</f>
        <v>89.847376412970902</v>
      </c>
      <c r="AF100" s="34">
        <f t="shared" si="44"/>
        <v>97.571007557335022</v>
      </c>
      <c r="AG100" s="35">
        <f t="shared" si="44"/>
        <v>92.636267842046749</v>
      </c>
      <c r="AH100" s="237"/>
    </row>
    <row r="101" spans="1:34" ht="12.75" hidden="1" x14ac:dyDescent="0.2">
      <c r="A101" s="111" t="s">
        <v>110</v>
      </c>
      <c r="B101" s="136">
        <v>30.74</v>
      </c>
      <c r="C101" s="136">
        <v>212038644.80000001</v>
      </c>
      <c r="D101" s="136">
        <v>206396008.40000001</v>
      </c>
      <c r="E101" s="116">
        <f>F101+G101+H101</f>
        <v>5642667.1399999997</v>
      </c>
      <c r="F101" s="136">
        <v>0</v>
      </c>
      <c r="G101" s="136">
        <v>4553404.1399999997</v>
      </c>
      <c r="H101" s="136">
        <v>1089263</v>
      </c>
      <c r="I101" s="136">
        <v>0</v>
      </c>
      <c r="J101" s="136">
        <v>194878135.47999999</v>
      </c>
      <c r="K101" s="136">
        <v>189351043.84</v>
      </c>
      <c r="L101" s="116">
        <f>M101+N101+O101</f>
        <v>5527091.6399999997</v>
      </c>
      <c r="M101" s="136">
        <v>0</v>
      </c>
      <c r="N101" s="136">
        <v>4491828.6399999997</v>
      </c>
      <c r="O101" s="136">
        <v>1035263</v>
      </c>
      <c r="P101" s="28"/>
      <c r="Q101" s="28">
        <f t="shared" si="40"/>
        <v>206.3960084</v>
      </c>
      <c r="R101" s="28"/>
      <c r="S101" s="28"/>
      <c r="T101" s="28">
        <f t="shared" si="41"/>
        <v>4.5534041399999996</v>
      </c>
      <c r="U101" s="28">
        <f t="shared" si="41"/>
        <v>1.0892630000000001</v>
      </c>
      <c r="V101" s="28"/>
      <c r="W101" s="28">
        <f t="shared" ref="W101:Y113" si="45">K101/1000000</f>
        <v>189.35104384000002</v>
      </c>
      <c r="X101" s="28"/>
      <c r="Y101" s="28"/>
      <c r="Z101" s="28">
        <f t="shared" si="43"/>
        <v>4.4918286399999996</v>
      </c>
      <c r="AA101" s="28">
        <f t="shared" si="43"/>
        <v>1.035263</v>
      </c>
      <c r="AB101" s="28"/>
      <c r="AC101" s="28">
        <f t="shared" si="30"/>
        <v>91.741621026426799</v>
      </c>
      <c r="AD101" s="28"/>
      <c r="AE101" s="28"/>
      <c r="AF101" s="28">
        <f t="shared" si="44"/>
        <v>98.647704045000495</v>
      </c>
      <c r="AG101" s="30">
        <f t="shared" si="44"/>
        <v>95.042519575162288</v>
      </c>
      <c r="AH101" s="236"/>
    </row>
    <row r="102" spans="1:34" s="37" customFormat="1" x14ac:dyDescent="0.25">
      <c r="A102" s="108" t="s">
        <v>138</v>
      </c>
      <c r="B102" s="32">
        <v>115453553.48999999</v>
      </c>
      <c r="C102" s="32">
        <v>0</v>
      </c>
      <c r="D102" s="32">
        <v>89715859</v>
      </c>
      <c r="E102" s="105">
        <f>F102+G102+H102</f>
        <v>25737694.489999998</v>
      </c>
      <c r="F102" s="32">
        <v>25712694.489999998</v>
      </c>
      <c r="G102" s="32">
        <v>0</v>
      </c>
      <c r="H102" s="32">
        <v>25000</v>
      </c>
      <c r="I102" s="32">
        <v>115382703.08</v>
      </c>
      <c r="J102" s="32">
        <v>0</v>
      </c>
      <c r="K102" s="32">
        <v>89654927.590000004</v>
      </c>
      <c r="L102" s="105">
        <f>M102+N102+O102</f>
        <v>25727775.489999998</v>
      </c>
      <c r="M102" s="32">
        <v>25712694.489999998</v>
      </c>
      <c r="N102" s="32">
        <v>0</v>
      </c>
      <c r="O102" s="32">
        <v>15081</v>
      </c>
      <c r="P102" s="34">
        <f t="shared" si="39"/>
        <v>115.45355348999999</v>
      </c>
      <c r="Q102" s="34">
        <f t="shared" si="40"/>
        <v>89.715858999999995</v>
      </c>
      <c r="R102" s="34">
        <f t="shared" si="40"/>
        <v>25.737694489999999</v>
      </c>
      <c r="S102" s="34">
        <f t="shared" si="40"/>
        <v>25.712694489999997</v>
      </c>
      <c r="T102" s="34">
        <f t="shared" si="41"/>
        <v>0</v>
      </c>
      <c r="U102" s="34">
        <f t="shared" si="41"/>
        <v>2.5000000000000001E-2</v>
      </c>
      <c r="V102" s="34">
        <f t="shared" si="41"/>
        <v>115.38270308</v>
      </c>
      <c r="W102" s="34">
        <f t="shared" si="45"/>
        <v>89.65492759</v>
      </c>
      <c r="X102" s="34">
        <f t="shared" si="45"/>
        <v>25.727775489999999</v>
      </c>
      <c r="Y102" s="34">
        <f t="shared" si="45"/>
        <v>25.712694489999997</v>
      </c>
      <c r="Z102" s="34">
        <f t="shared" si="43"/>
        <v>0</v>
      </c>
      <c r="AA102" s="34">
        <f t="shared" si="43"/>
        <v>1.5081000000000001E-2</v>
      </c>
      <c r="AB102" s="34">
        <f>V102/P102%</f>
        <v>99.93863297589526</v>
      </c>
      <c r="AC102" s="34">
        <f t="shared" si="30"/>
        <v>99.932084014265527</v>
      </c>
      <c r="AD102" s="34">
        <f>X102/R102%</f>
        <v>99.961461194576472</v>
      </c>
      <c r="AE102" s="34">
        <f>Y102/S102%</f>
        <v>100</v>
      </c>
      <c r="AF102" s="117" t="s">
        <v>82</v>
      </c>
      <c r="AG102" s="35">
        <f t="shared" si="44"/>
        <v>60.323999999999998</v>
      </c>
      <c r="AH102" s="237"/>
    </row>
    <row r="103" spans="1:34" s="37" customFormat="1" ht="13.5" customHeight="1" x14ac:dyDescent="0.25">
      <c r="A103" s="108" t="s">
        <v>139</v>
      </c>
      <c r="B103" s="141">
        <v>1859850234.04</v>
      </c>
      <c r="C103" s="141">
        <v>711466.67</v>
      </c>
      <c r="D103" s="141">
        <v>1473488200</v>
      </c>
      <c r="E103" s="105">
        <f>F103+G103+H103</f>
        <v>387073500.70999998</v>
      </c>
      <c r="F103" s="141">
        <v>352104662.25999999</v>
      </c>
      <c r="G103" s="141">
        <v>32288104.329999998</v>
      </c>
      <c r="H103" s="141">
        <v>2680734.12</v>
      </c>
      <c r="I103" s="32">
        <v>1733347716.6600001</v>
      </c>
      <c r="J103" s="32">
        <v>711466.67</v>
      </c>
      <c r="K103" s="32">
        <v>1413971335.46</v>
      </c>
      <c r="L103" s="105">
        <f>M103+N103+O103</f>
        <v>320087847.87</v>
      </c>
      <c r="M103" s="32">
        <v>287215711.38</v>
      </c>
      <c r="N103" s="32">
        <v>31116357.879999999</v>
      </c>
      <c r="O103" s="32">
        <v>1755778.61</v>
      </c>
      <c r="P103" s="34">
        <f t="shared" si="39"/>
        <v>1859.85023404</v>
      </c>
      <c r="Q103" s="34">
        <f t="shared" si="40"/>
        <v>1473.4882</v>
      </c>
      <c r="R103" s="34">
        <f t="shared" si="40"/>
        <v>387.07350070999996</v>
      </c>
      <c r="S103" s="34">
        <f t="shared" si="40"/>
        <v>352.10466226</v>
      </c>
      <c r="T103" s="34">
        <f t="shared" si="41"/>
        <v>32.288104329999996</v>
      </c>
      <c r="U103" s="34">
        <f t="shared" si="41"/>
        <v>2.6807341200000003</v>
      </c>
      <c r="V103" s="34">
        <f t="shared" si="41"/>
        <v>1733.3477166600001</v>
      </c>
      <c r="W103" s="34">
        <f t="shared" si="45"/>
        <v>1413.9713354600001</v>
      </c>
      <c r="X103" s="34">
        <f t="shared" si="45"/>
        <v>320.08784787000002</v>
      </c>
      <c r="Y103" s="34">
        <f t="shared" si="45"/>
        <v>287.21571138000002</v>
      </c>
      <c r="Z103" s="34">
        <f t="shared" si="43"/>
        <v>31.116357879999999</v>
      </c>
      <c r="AA103" s="34">
        <f t="shared" si="43"/>
        <v>1.7557786100000001</v>
      </c>
      <c r="AB103" s="34">
        <f>V103/P103%</f>
        <v>93.198241715129456</v>
      </c>
      <c r="AC103" s="34">
        <f t="shared" si="30"/>
        <v>95.960818380493308</v>
      </c>
      <c r="AD103" s="34">
        <f>X103/R103%</f>
        <v>82.69433254481909</v>
      </c>
      <c r="AE103" s="34">
        <f>Y103/S103%</f>
        <v>81.571118523819806</v>
      </c>
      <c r="AF103" s="34">
        <f t="shared" si="44"/>
        <v>96.370965486161154</v>
      </c>
      <c r="AG103" s="35">
        <f t="shared" si="44"/>
        <v>65.496186171570045</v>
      </c>
      <c r="AH103" s="237"/>
    </row>
    <row r="104" spans="1:34" s="37" customFormat="1" ht="26.4" x14ac:dyDescent="0.25">
      <c r="A104" s="108" t="s">
        <v>140</v>
      </c>
      <c r="B104" s="32">
        <v>7242591.4299999997</v>
      </c>
      <c r="C104" s="32">
        <v>3850211238.7399998</v>
      </c>
      <c r="D104" s="32">
        <v>3268775000</v>
      </c>
      <c r="E104" s="142"/>
      <c r="F104" s="32">
        <v>0</v>
      </c>
      <c r="G104" s="32">
        <v>588127830.16999996</v>
      </c>
      <c r="H104" s="32">
        <v>551000</v>
      </c>
      <c r="I104" s="32">
        <v>0</v>
      </c>
      <c r="J104" s="32">
        <v>3786739163.3400002</v>
      </c>
      <c r="K104" s="32">
        <v>3201879308.5700002</v>
      </c>
      <c r="L104" s="142"/>
      <c r="M104" s="32">
        <v>0</v>
      </c>
      <c r="N104" s="32">
        <v>584308854.76999998</v>
      </c>
      <c r="O104" s="32">
        <v>551000</v>
      </c>
      <c r="P104" s="34">
        <f t="shared" si="39"/>
        <v>7.2425914300000001</v>
      </c>
      <c r="Q104" s="34">
        <f t="shared" si="40"/>
        <v>3268.7750000000001</v>
      </c>
      <c r="R104" s="34"/>
      <c r="S104" s="34">
        <f t="shared" si="40"/>
        <v>0</v>
      </c>
      <c r="T104" s="34">
        <f t="shared" si="41"/>
        <v>588.12783016999992</v>
      </c>
      <c r="U104" s="34">
        <f t="shared" si="41"/>
        <v>0.55100000000000005</v>
      </c>
      <c r="V104" s="34">
        <f t="shared" si="41"/>
        <v>0</v>
      </c>
      <c r="W104" s="34">
        <f t="shared" si="45"/>
        <v>3201.8793085700004</v>
      </c>
      <c r="X104" s="34"/>
      <c r="Y104" s="34">
        <f t="shared" si="45"/>
        <v>0</v>
      </c>
      <c r="Z104" s="34">
        <f t="shared" si="43"/>
        <v>584.30885476999993</v>
      </c>
      <c r="AA104" s="34">
        <f t="shared" si="43"/>
        <v>0.55100000000000005</v>
      </c>
      <c r="AB104" s="34">
        <f>V104/P104%</f>
        <v>0</v>
      </c>
      <c r="AC104" s="34">
        <f t="shared" si="30"/>
        <v>97.953493543299871</v>
      </c>
      <c r="AD104" s="117" t="s">
        <v>82</v>
      </c>
      <c r="AE104" s="117" t="s">
        <v>82</v>
      </c>
      <c r="AF104" s="34">
        <f t="shared" si="44"/>
        <v>99.350655554100186</v>
      </c>
      <c r="AG104" s="35">
        <f t="shared" si="44"/>
        <v>100</v>
      </c>
      <c r="AH104" s="237"/>
    </row>
    <row r="105" spans="1:34" ht="26.4" x14ac:dyDescent="0.25">
      <c r="A105" s="111" t="s">
        <v>141</v>
      </c>
      <c r="B105" s="25">
        <v>2500991.4300000002</v>
      </c>
      <c r="C105" s="25">
        <v>988855913.57000005</v>
      </c>
      <c r="D105" s="25">
        <v>841508200</v>
      </c>
      <c r="E105" s="143"/>
      <c r="F105" s="25">
        <v>0</v>
      </c>
      <c r="G105" s="25">
        <v>149848705</v>
      </c>
      <c r="H105" s="25">
        <v>0</v>
      </c>
      <c r="I105" s="25">
        <v>0</v>
      </c>
      <c r="J105" s="25">
        <v>988855913.57000005</v>
      </c>
      <c r="K105" s="25">
        <v>839007208.57000005</v>
      </c>
      <c r="L105" s="143"/>
      <c r="M105" s="25">
        <v>0</v>
      </c>
      <c r="N105" s="25">
        <v>149848705</v>
      </c>
      <c r="O105" s="25">
        <v>0</v>
      </c>
      <c r="P105" s="28">
        <f t="shared" si="39"/>
        <v>2.50099143</v>
      </c>
      <c r="Q105" s="28">
        <f t="shared" si="40"/>
        <v>841.50819999999999</v>
      </c>
      <c r="R105" s="28"/>
      <c r="S105" s="28">
        <f t="shared" si="40"/>
        <v>0</v>
      </c>
      <c r="T105" s="28">
        <f t="shared" si="41"/>
        <v>149.848705</v>
      </c>
      <c r="U105" s="28">
        <f t="shared" si="41"/>
        <v>0</v>
      </c>
      <c r="V105" s="28">
        <f t="shared" si="41"/>
        <v>0</v>
      </c>
      <c r="W105" s="28">
        <f t="shared" si="45"/>
        <v>839.0072085700001</v>
      </c>
      <c r="X105" s="28"/>
      <c r="Y105" s="28">
        <f t="shared" si="45"/>
        <v>0</v>
      </c>
      <c r="Z105" s="28">
        <f t="shared" si="43"/>
        <v>149.848705</v>
      </c>
      <c r="AA105" s="28">
        <f t="shared" si="43"/>
        <v>0</v>
      </c>
      <c r="AB105" s="51" t="s">
        <v>82</v>
      </c>
      <c r="AC105" s="28">
        <f t="shared" si="30"/>
        <v>99.702796546724102</v>
      </c>
      <c r="AD105" s="51" t="s">
        <v>82</v>
      </c>
      <c r="AE105" s="51" t="s">
        <v>82</v>
      </c>
      <c r="AF105" s="28">
        <f t="shared" si="44"/>
        <v>100</v>
      </c>
      <c r="AG105" s="46" t="s">
        <v>82</v>
      </c>
      <c r="AH105" s="242"/>
    </row>
    <row r="106" spans="1:34" x14ac:dyDescent="0.25">
      <c r="A106" s="111" t="s">
        <v>142</v>
      </c>
      <c r="B106" s="25">
        <v>4741600</v>
      </c>
      <c r="C106" s="25">
        <v>513880163</v>
      </c>
      <c r="D106" s="25">
        <v>381911100</v>
      </c>
      <c r="E106" s="143"/>
      <c r="F106" s="25">
        <v>0</v>
      </c>
      <c r="G106" s="25">
        <v>136710663</v>
      </c>
      <c r="H106" s="25">
        <v>0</v>
      </c>
      <c r="I106" s="25">
        <v>0</v>
      </c>
      <c r="J106" s="25">
        <v>454227063</v>
      </c>
      <c r="K106" s="25">
        <v>317516400</v>
      </c>
      <c r="L106" s="143"/>
      <c r="M106" s="25">
        <v>0</v>
      </c>
      <c r="N106" s="25">
        <v>136710663</v>
      </c>
      <c r="O106" s="25">
        <v>0</v>
      </c>
      <c r="P106" s="28">
        <f t="shared" si="39"/>
        <v>4.7416</v>
      </c>
      <c r="Q106" s="28">
        <f t="shared" si="40"/>
        <v>381.91109999999998</v>
      </c>
      <c r="R106" s="28"/>
      <c r="S106" s="28">
        <f t="shared" si="40"/>
        <v>0</v>
      </c>
      <c r="T106" s="28">
        <f t="shared" si="41"/>
        <v>136.71066300000001</v>
      </c>
      <c r="U106" s="28">
        <f t="shared" si="41"/>
        <v>0</v>
      </c>
      <c r="V106" s="28">
        <f t="shared" si="41"/>
        <v>0</v>
      </c>
      <c r="W106" s="28">
        <f t="shared" si="45"/>
        <v>317.51639999999998</v>
      </c>
      <c r="X106" s="28"/>
      <c r="Y106" s="28">
        <f t="shared" si="45"/>
        <v>0</v>
      </c>
      <c r="Z106" s="28">
        <f t="shared" si="43"/>
        <v>136.71066300000001</v>
      </c>
      <c r="AA106" s="28">
        <f t="shared" si="43"/>
        <v>0</v>
      </c>
      <c r="AB106" s="28">
        <f t="shared" ref="AB106" si="46">V106/P106%</f>
        <v>0</v>
      </c>
      <c r="AC106" s="28">
        <f t="shared" si="30"/>
        <v>83.138824716013744</v>
      </c>
      <c r="AD106" s="51" t="s">
        <v>82</v>
      </c>
      <c r="AE106" s="51" t="s">
        <v>82</v>
      </c>
      <c r="AF106" s="28">
        <f t="shared" si="44"/>
        <v>100</v>
      </c>
      <c r="AG106" s="46" t="s">
        <v>82</v>
      </c>
      <c r="AH106" s="242"/>
    </row>
    <row r="107" spans="1:34" ht="26.4" x14ac:dyDescent="0.25">
      <c r="A107" s="111" t="s">
        <v>143</v>
      </c>
      <c r="B107" s="25">
        <v>0</v>
      </c>
      <c r="C107" s="25">
        <v>2347475162.1700001</v>
      </c>
      <c r="D107" s="25">
        <v>2045355700</v>
      </c>
      <c r="E107" s="143"/>
      <c r="F107" s="25">
        <v>0</v>
      </c>
      <c r="G107" s="25">
        <v>301568462.17000002</v>
      </c>
      <c r="H107" s="25">
        <v>551000</v>
      </c>
      <c r="I107" s="25">
        <v>0</v>
      </c>
      <c r="J107" s="25">
        <v>2343656186.77</v>
      </c>
      <c r="K107" s="25">
        <v>2045355700</v>
      </c>
      <c r="L107" s="143"/>
      <c r="M107" s="25">
        <v>0</v>
      </c>
      <c r="N107" s="25">
        <v>297749486.76999998</v>
      </c>
      <c r="O107" s="25">
        <v>551000</v>
      </c>
      <c r="P107" s="28">
        <f t="shared" si="39"/>
        <v>0</v>
      </c>
      <c r="Q107" s="28">
        <f t="shared" si="40"/>
        <v>2045.3557000000001</v>
      </c>
      <c r="R107" s="28"/>
      <c r="S107" s="28">
        <f t="shared" si="40"/>
        <v>0</v>
      </c>
      <c r="T107" s="28">
        <f t="shared" si="41"/>
        <v>301.56846217000003</v>
      </c>
      <c r="U107" s="28">
        <f t="shared" si="41"/>
        <v>0.55100000000000005</v>
      </c>
      <c r="V107" s="28">
        <f t="shared" si="41"/>
        <v>0</v>
      </c>
      <c r="W107" s="28">
        <f t="shared" si="45"/>
        <v>2045.3557000000001</v>
      </c>
      <c r="X107" s="28"/>
      <c r="Y107" s="28">
        <f t="shared" si="45"/>
        <v>0</v>
      </c>
      <c r="Z107" s="28">
        <f t="shared" si="43"/>
        <v>297.74948676999998</v>
      </c>
      <c r="AA107" s="28">
        <f t="shared" si="43"/>
        <v>0.55100000000000005</v>
      </c>
      <c r="AB107" s="51" t="s">
        <v>82</v>
      </c>
      <c r="AC107" s="28">
        <f t="shared" si="30"/>
        <v>100</v>
      </c>
      <c r="AD107" s="51" t="s">
        <v>82</v>
      </c>
      <c r="AE107" s="51" t="s">
        <v>82</v>
      </c>
      <c r="AF107" s="28">
        <f t="shared" si="44"/>
        <v>98.733629049762101</v>
      </c>
      <c r="AG107" s="30">
        <f>AA107/U107%</f>
        <v>100</v>
      </c>
      <c r="AH107" s="236"/>
    </row>
    <row r="108" spans="1:34" s="37" customFormat="1" x14ac:dyDescent="0.25">
      <c r="A108" s="144" t="s">
        <v>144</v>
      </c>
      <c r="B108" s="145">
        <f t="shared" ref="B108:O108" si="47">B51+B53+B55+B57+B76+B86+B88+B90+B92+B98+B100+B102+B103+B104</f>
        <v>85654944704.149979</v>
      </c>
      <c r="C108" s="145">
        <f t="shared" si="47"/>
        <v>26005112467.220001</v>
      </c>
      <c r="D108" s="145">
        <f t="shared" si="47"/>
        <v>70296262661.610001</v>
      </c>
      <c r="E108" s="145">
        <f t="shared" si="47"/>
        <v>37594695695.199989</v>
      </c>
      <c r="F108" s="145">
        <f t="shared" si="47"/>
        <v>19686406089.600002</v>
      </c>
      <c r="G108" s="145">
        <f t="shared" si="47"/>
        <v>16093229599.65</v>
      </c>
      <c r="H108" s="145">
        <f t="shared" si="47"/>
        <v>5584158820.5100002</v>
      </c>
      <c r="I108" s="145">
        <f t="shared" si="47"/>
        <v>81203518465.460007</v>
      </c>
      <c r="J108" s="145">
        <f t="shared" si="47"/>
        <v>24549749632.989998</v>
      </c>
      <c r="K108" s="145">
        <f t="shared" si="47"/>
        <v>67954835294.009979</v>
      </c>
      <c r="L108" s="145">
        <f t="shared" si="47"/>
        <v>34677610992.25</v>
      </c>
      <c r="M108" s="145">
        <f t="shared" si="47"/>
        <v>18642109545.110004</v>
      </c>
      <c r="N108" s="145">
        <f t="shared" si="47"/>
        <v>15080442527.880001</v>
      </c>
      <c r="O108" s="145">
        <f t="shared" si="47"/>
        <v>4075880731.4499993</v>
      </c>
      <c r="P108" s="146">
        <f t="shared" si="39"/>
        <v>85654.944704149981</v>
      </c>
      <c r="Q108" s="146">
        <f t="shared" si="40"/>
        <v>70296.262661610002</v>
      </c>
      <c r="R108" s="146">
        <f>E108/1000000</f>
        <v>37594.695695199989</v>
      </c>
      <c r="S108" s="146">
        <f>F108/1000000</f>
        <v>19686.406089600001</v>
      </c>
      <c r="T108" s="146">
        <f t="shared" si="41"/>
        <v>16093.22959965</v>
      </c>
      <c r="U108" s="146">
        <f t="shared" si="41"/>
        <v>5584.1588205100006</v>
      </c>
      <c r="V108" s="146">
        <f t="shared" si="41"/>
        <v>81203.518465460002</v>
      </c>
      <c r="W108" s="146">
        <f t="shared" si="45"/>
        <v>67954.835294009972</v>
      </c>
      <c r="X108" s="146">
        <f t="shared" si="45"/>
        <v>34677.610992250004</v>
      </c>
      <c r="Y108" s="146">
        <f t="shared" si="45"/>
        <v>18642.109545110005</v>
      </c>
      <c r="Z108" s="146">
        <f t="shared" si="43"/>
        <v>15080.442527880001</v>
      </c>
      <c r="AA108" s="146">
        <f t="shared" si="43"/>
        <v>4075.8807314499995</v>
      </c>
      <c r="AB108" s="146">
        <f>V108/P108%</f>
        <v>94.803071493344504</v>
      </c>
      <c r="AC108" s="146">
        <f t="shared" si="30"/>
        <v>96.66920078116938</v>
      </c>
      <c r="AD108" s="146">
        <f>X108/R108%</f>
        <v>92.240701383513439</v>
      </c>
      <c r="AE108" s="146">
        <f>Y108/S108%</f>
        <v>94.695341852966848</v>
      </c>
      <c r="AF108" s="146">
        <f t="shared" si="44"/>
        <v>93.706750621441302</v>
      </c>
      <c r="AG108" s="147">
        <f>AA108/U108%</f>
        <v>72.99005745466512</v>
      </c>
      <c r="AH108" s="243"/>
    </row>
    <row r="109" spans="1:34" s="77" customFormat="1" ht="12.75" hidden="1" x14ac:dyDescent="0.2">
      <c r="A109" s="148" t="s">
        <v>145</v>
      </c>
      <c r="B109" s="149">
        <f t="shared" ref="B109:O109" si="48">B108-B50</f>
        <v>0</v>
      </c>
      <c r="C109" s="149">
        <f t="shared" si="48"/>
        <v>0</v>
      </c>
      <c r="D109" s="149">
        <f t="shared" si="48"/>
        <v>0</v>
      </c>
      <c r="E109" s="149">
        <f t="shared" si="48"/>
        <v>0</v>
      </c>
      <c r="F109" s="149">
        <f t="shared" si="48"/>
        <v>0</v>
      </c>
      <c r="G109" s="149">
        <f t="shared" si="48"/>
        <v>0</v>
      </c>
      <c r="H109" s="149">
        <f t="shared" si="48"/>
        <v>0</v>
      </c>
      <c r="I109" s="149">
        <f t="shared" si="48"/>
        <v>0</v>
      </c>
      <c r="J109" s="149">
        <f t="shared" si="48"/>
        <v>0</v>
      </c>
      <c r="K109" s="149">
        <f t="shared" si="48"/>
        <v>0</v>
      </c>
      <c r="L109" s="149">
        <f t="shared" si="48"/>
        <v>0</v>
      </c>
      <c r="M109" s="149">
        <f t="shared" si="48"/>
        <v>0</v>
      </c>
      <c r="N109" s="149">
        <f t="shared" si="48"/>
        <v>0</v>
      </c>
      <c r="O109" s="149">
        <f t="shared" si="48"/>
        <v>0</v>
      </c>
      <c r="P109" s="150">
        <f t="shared" si="39"/>
        <v>0</v>
      </c>
      <c r="Q109" s="150">
        <f t="shared" si="40"/>
        <v>0</v>
      </c>
      <c r="R109" s="150">
        <f>E109/1000000</f>
        <v>0</v>
      </c>
      <c r="S109" s="150">
        <f>F109/1000000</f>
        <v>0</v>
      </c>
      <c r="T109" s="150">
        <f t="shared" si="41"/>
        <v>0</v>
      </c>
      <c r="U109" s="150">
        <f t="shared" si="41"/>
        <v>0</v>
      </c>
      <c r="V109" s="150">
        <f t="shared" si="41"/>
        <v>0</v>
      </c>
      <c r="W109" s="150">
        <f t="shared" si="45"/>
        <v>0</v>
      </c>
      <c r="X109" s="150">
        <f t="shared" si="45"/>
        <v>0</v>
      </c>
      <c r="Y109" s="150">
        <f t="shared" si="45"/>
        <v>0</v>
      </c>
      <c r="Z109" s="150">
        <f t="shared" si="43"/>
        <v>0</v>
      </c>
      <c r="AA109" s="150">
        <f t="shared" si="43"/>
        <v>0</v>
      </c>
      <c r="AB109" s="151"/>
      <c r="AC109" s="151"/>
      <c r="AD109" s="151"/>
      <c r="AE109" s="151"/>
      <c r="AF109" s="151"/>
      <c r="AG109" s="152"/>
      <c r="AH109" s="248"/>
    </row>
    <row r="110" spans="1:34" x14ac:dyDescent="0.25">
      <c r="A110" s="153" t="s">
        <v>110</v>
      </c>
      <c r="B110" s="154">
        <v>510482166.98000002</v>
      </c>
      <c r="C110" s="154">
        <v>26004401000.550003</v>
      </c>
      <c r="D110" s="154">
        <v>22745784352.970001</v>
      </c>
      <c r="E110" s="155">
        <f>F110+G110+H110</f>
        <v>3769098814.5600004</v>
      </c>
      <c r="F110" s="155">
        <v>0</v>
      </c>
      <c r="G110" s="155">
        <v>3659023678.3200002</v>
      </c>
      <c r="H110" s="155">
        <v>110075136.24000001</v>
      </c>
      <c r="I110" s="155">
        <v>192326785.84999999</v>
      </c>
      <c r="J110" s="155">
        <v>24549038166.32</v>
      </c>
      <c r="K110" s="155">
        <v>21620543139.98</v>
      </c>
      <c r="L110" s="155">
        <f>M110+N110+O110</f>
        <v>3120821812.1900001</v>
      </c>
      <c r="M110" s="155">
        <v>0</v>
      </c>
      <c r="N110" s="155">
        <v>3012591087.3499999</v>
      </c>
      <c r="O110" s="156">
        <v>108230724.84</v>
      </c>
      <c r="P110" s="50">
        <f t="shared" si="39"/>
        <v>510.48216698000004</v>
      </c>
      <c r="Q110" s="50">
        <f t="shared" si="40"/>
        <v>22745.78435297</v>
      </c>
      <c r="R110" s="50">
        <f t="shared" si="40"/>
        <v>3769.0988145600004</v>
      </c>
      <c r="S110" s="50">
        <f t="shared" si="40"/>
        <v>0</v>
      </c>
      <c r="T110" s="50">
        <f>G110/1000000</f>
        <v>3659.0236783200003</v>
      </c>
      <c r="U110" s="50">
        <f>H110/1000000</f>
        <v>110.07513624000001</v>
      </c>
      <c r="V110" s="50">
        <f>I110/1000000</f>
        <v>192.32678584999999</v>
      </c>
      <c r="W110" s="50">
        <f t="shared" si="45"/>
        <v>21620.54313998</v>
      </c>
      <c r="X110" s="50">
        <f t="shared" si="45"/>
        <v>3120.8218121899999</v>
      </c>
      <c r="Y110" s="50">
        <f t="shared" si="45"/>
        <v>0</v>
      </c>
      <c r="Z110" s="50">
        <f t="shared" si="43"/>
        <v>3012.5910873499997</v>
      </c>
      <c r="AA110" s="50">
        <f t="shared" si="43"/>
        <v>108.23072484000001</v>
      </c>
      <c r="AB110" s="50">
        <f>V110/P110%</f>
        <v>37.675515089547694</v>
      </c>
      <c r="AC110" s="50">
        <f>W110/Q110%</f>
        <v>95.052968077387604</v>
      </c>
      <c r="AD110" s="50">
        <f>X110/R110%</f>
        <v>82.800212086090411</v>
      </c>
      <c r="AE110" s="157" t="s">
        <v>82</v>
      </c>
      <c r="AF110" s="50">
        <f t="shared" si="44"/>
        <v>82.33319464970495</v>
      </c>
      <c r="AG110" s="158">
        <f>AA110/U110%</f>
        <v>98.324406888783159</v>
      </c>
      <c r="AH110" s="249"/>
    </row>
    <row r="111" spans="1:34" s="76" customFormat="1" ht="12.75" hidden="1" x14ac:dyDescent="0.2">
      <c r="A111" s="159" t="s">
        <v>146</v>
      </c>
      <c r="B111" s="160">
        <f>(B52+B54+B56+B58+B77+B87+B89+B91+B93+B99+B101+B104)-B110</f>
        <v>0</v>
      </c>
      <c r="C111" s="160">
        <f>(C52+C54+C56+C58+C77+C87+C89+C91+C93+C99+C101+C104)-C110</f>
        <v>0</v>
      </c>
      <c r="D111" s="160">
        <f>(D52+D54+D56+D58+D77+D87+D89+D91+D93+D99+D101+D104)-D110</f>
        <v>0</v>
      </c>
      <c r="E111" s="160">
        <f>(E52+E54+E56+E58+E77+E87+E89+E91+E93+E99+E101+E104)-E110+G104+H104</f>
        <v>-1.1920928955078125E-7</v>
      </c>
      <c r="F111" s="160">
        <f t="shared" ref="F111:K111" si="49">(F52+F54+F56+F58+F77+F87+F89+F91+F93+F99+F101+F104)-F110</f>
        <v>0</v>
      </c>
      <c r="G111" s="160">
        <f t="shared" si="49"/>
        <v>0</v>
      </c>
      <c r="H111" s="160">
        <f t="shared" si="49"/>
        <v>0</v>
      </c>
      <c r="I111" s="160">
        <f t="shared" si="49"/>
        <v>0</v>
      </c>
      <c r="J111" s="160">
        <f t="shared" si="49"/>
        <v>0</v>
      </c>
      <c r="K111" s="160">
        <f t="shared" si="49"/>
        <v>0</v>
      </c>
      <c r="L111" s="160">
        <f>(L52+L54+L56+L58+L77+L87+L89+L91+L93+L99+L101+L104)-L110+N104+O104</f>
        <v>-4.76837158203125E-7</v>
      </c>
      <c r="M111" s="160">
        <f>(M52+M54+M56+M58+M77+M87+M89+M91+M93+M99+M101+M104)-M110</f>
        <v>0</v>
      </c>
      <c r="N111" s="160">
        <f>(N52+N54+N56+N58+N77+N87+N89+N91+N93+N99+N101+N104)-N110</f>
        <v>0</v>
      </c>
      <c r="O111" s="160">
        <f>(O52+O54+O56+O58+O77+O87+O89+O91+O93+O99+O101+O104)-O110</f>
        <v>0</v>
      </c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2"/>
      <c r="AH111" s="250"/>
    </row>
    <row r="112" spans="1:34" s="37" customFormat="1" ht="27" thickBot="1" x14ac:dyDescent="0.3">
      <c r="A112" s="80" t="s">
        <v>147</v>
      </c>
      <c r="B112" s="163">
        <f>B38-B108</f>
        <v>-7491954181.6899872</v>
      </c>
      <c r="C112" s="163"/>
      <c r="D112" s="163">
        <f t="shared" ref="D112:I112" si="50">D38-D108</f>
        <v>-5147869342.7900009</v>
      </c>
      <c r="E112" s="163">
        <f t="shared" si="50"/>
        <v>-2344084838.8999863</v>
      </c>
      <c r="F112" s="163">
        <f t="shared" si="50"/>
        <v>-1341207933.2800026</v>
      </c>
      <c r="G112" s="163">
        <f t="shared" si="50"/>
        <v>-340690287.52999878</v>
      </c>
      <c r="H112" s="163">
        <f t="shared" si="50"/>
        <v>-662186618.09000015</v>
      </c>
      <c r="I112" s="163">
        <f t="shared" si="50"/>
        <v>-2789217496.5900116</v>
      </c>
      <c r="J112" s="163"/>
      <c r="K112" s="163">
        <f>K38-K108</f>
        <v>-2377273679.3999863</v>
      </c>
      <c r="L112" s="163">
        <f>L38-L108</f>
        <v>-411943817.18999863</v>
      </c>
      <c r="M112" s="163">
        <f>M38-M108</f>
        <v>-594346515.67000198</v>
      </c>
      <c r="N112" s="163">
        <f>N38-N108</f>
        <v>64034294.099998474</v>
      </c>
      <c r="O112" s="163">
        <f>O38-O108</f>
        <v>118368404.38000059</v>
      </c>
      <c r="P112" s="82">
        <f t="shared" si="39"/>
        <v>-7491.9541816899873</v>
      </c>
      <c r="Q112" s="82">
        <f t="shared" si="40"/>
        <v>-5147.8693427900007</v>
      </c>
      <c r="R112" s="82">
        <f t="shared" si="40"/>
        <v>-2344.0848388999862</v>
      </c>
      <c r="S112" s="82">
        <f t="shared" si="40"/>
        <v>-1341.2079332800026</v>
      </c>
      <c r="T112" s="82">
        <f t="shared" si="40"/>
        <v>-340.69028752999878</v>
      </c>
      <c r="U112" s="82">
        <f t="shared" si="40"/>
        <v>-662.18661809000014</v>
      </c>
      <c r="V112" s="82">
        <f t="shared" si="40"/>
        <v>-2789.2174965900117</v>
      </c>
      <c r="W112" s="82">
        <f t="shared" si="45"/>
        <v>-2377.2736793999861</v>
      </c>
      <c r="X112" s="82">
        <f t="shared" si="45"/>
        <v>-411.94381718999864</v>
      </c>
      <c r="Y112" s="82">
        <f t="shared" si="45"/>
        <v>-594.34651567000196</v>
      </c>
      <c r="Z112" s="82">
        <f>N112/1000000</f>
        <v>64.034294099998476</v>
      </c>
      <c r="AA112" s="82">
        <f>O112/1000000</f>
        <v>118.3684043800006</v>
      </c>
      <c r="AB112" s="164" t="s">
        <v>34</v>
      </c>
      <c r="AC112" s="164" t="s">
        <v>34</v>
      </c>
      <c r="AD112" s="164" t="s">
        <v>34</v>
      </c>
      <c r="AE112" s="164" t="s">
        <v>34</v>
      </c>
      <c r="AF112" s="164" t="s">
        <v>34</v>
      </c>
      <c r="AG112" s="165" t="s">
        <v>34</v>
      </c>
      <c r="AH112" s="251"/>
    </row>
    <row r="113" spans="1:34" s="37" customFormat="1" ht="14.25" hidden="1" thickTop="1" thickBot="1" x14ac:dyDescent="0.25">
      <c r="A113" s="166" t="s">
        <v>148</v>
      </c>
      <c r="B113" s="167">
        <v>-7491954181.6899996</v>
      </c>
      <c r="C113" s="167">
        <v>0</v>
      </c>
      <c r="D113" s="167">
        <v>-5147869342.79</v>
      </c>
      <c r="E113" s="168">
        <f>F113+G113+H113</f>
        <v>-2344084838.9000001</v>
      </c>
      <c r="F113" s="167">
        <v>-1341207933.28</v>
      </c>
      <c r="G113" s="167">
        <v>-340690287.52999997</v>
      </c>
      <c r="H113" s="167">
        <v>-662186618.09000003</v>
      </c>
      <c r="I113" s="167">
        <v>-2789217496.5900002</v>
      </c>
      <c r="J113" s="167">
        <v>0</v>
      </c>
      <c r="K113" s="167">
        <v>-2377273679.4000001</v>
      </c>
      <c r="L113" s="168">
        <f>M113+N113+O113</f>
        <v>-411943817.18999994</v>
      </c>
      <c r="M113" s="167">
        <v>-594346515.66999996</v>
      </c>
      <c r="N113" s="167">
        <v>64034294.100000001</v>
      </c>
      <c r="O113" s="167">
        <v>118368404.38</v>
      </c>
      <c r="P113" s="169">
        <f>B113/1000000</f>
        <v>-7491.9541816899991</v>
      </c>
      <c r="Q113" s="169">
        <f t="shared" ref="Q113:V113" si="51">D113/1000000</f>
        <v>-5147.8693427899998</v>
      </c>
      <c r="R113" s="169">
        <f t="shared" si="51"/>
        <v>-2344.0848389000002</v>
      </c>
      <c r="S113" s="169">
        <f t="shared" si="51"/>
        <v>-1341.2079332799999</v>
      </c>
      <c r="T113" s="169">
        <f t="shared" si="51"/>
        <v>-340.69028752999998</v>
      </c>
      <c r="U113" s="169">
        <f t="shared" si="51"/>
        <v>-662.18661809000002</v>
      </c>
      <c r="V113" s="169">
        <f t="shared" si="51"/>
        <v>-2789.2174965900003</v>
      </c>
      <c r="W113" s="169">
        <f t="shared" si="45"/>
        <v>-2377.2736794000002</v>
      </c>
      <c r="X113" s="169">
        <f t="shared" si="45"/>
        <v>-411.94381718999995</v>
      </c>
      <c r="Y113" s="169">
        <f t="shared" si="45"/>
        <v>-594.34651566999992</v>
      </c>
      <c r="Z113" s="169">
        <f>N113/1000000</f>
        <v>64.034294099999997</v>
      </c>
      <c r="AA113" s="169">
        <f>O113/1000000</f>
        <v>118.36840438</v>
      </c>
      <c r="AB113" s="169"/>
      <c r="AC113" s="169"/>
      <c r="AD113" s="169"/>
      <c r="AE113" s="169"/>
      <c r="AF113" s="169"/>
      <c r="AG113" s="170"/>
      <c r="AH113" s="252"/>
    </row>
    <row r="114" spans="1:34" s="37" customFormat="1" ht="14.25" hidden="1" thickTop="1" thickBot="1" x14ac:dyDescent="0.25">
      <c r="A114" s="171" t="s">
        <v>149</v>
      </c>
      <c r="B114" s="172">
        <f>B112-B113</f>
        <v>1.239776611328125E-5</v>
      </c>
      <c r="C114" s="172"/>
      <c r="D114" s="172">
        <f t="shared" ref="D114:AA114" si="52">D112-D113</f>
        <v>0</v>
      </c>
      <c r="E114" s="172">
        <f t="shared" si="52"/>
        <v>1.3828277587890625E-5</v>
      </c>
      <c r="F114" s="172">
        <f t="shared" si="52"/>
        <v>-2.6226043701171875E-6</v>
      </c>
      <c r="G114" s="172">
        <f t="shared" si="52"/>
        <v>1.1920928955078125E-6</v>
      </c>
      <c r="H114" s="172">
        <f t="shared" si="52"/>
        <v>0</v>
      </c>
      <c r="I114" s="172">
        <f t="shared" si="52"/>
        <v>-1.1444091796875E-5</v>
      </c>
      <c r="J114" s="172"/>
      <c r="K114" s="172">
        <f t="shared" si="52"/>
        <v>1.3828277587890625E-5</v>
      </c>
      <c r="L114" s="172">
        <f t="shared" si="52"/>
        <v>1.3113021850585938E-6</v>
      </c>
      <c r="M114" s="172">
        <f t="shared" si="52"/>
        <v>-2.0265579223632813E-6</v>
      </c>
      <c r="N114" s="172">
        <f t="shared" si="52"/>
        <v>-1.5273690223693848E-6</v>
      </c>
      <c r="O114" s="172">
        <f t="shared" si="52"/>
        <v>5.9604644775390625E-7</v>
      </c>
      <c r="P114" s="172">
        <f t="shared" si="52"/>
        <v>1.1823431123048067E-11</v>
      </c>
      <c r="Q114" s="172">
        <f t="shared" si="52"/>
        <v>0</v>
      </c>
      <c r="R114" s="172">
        <f t="shared" si="52"/>
        <v>1.4097167877480388E-11</v>
      </c>
      <c r="S114" s="172">
        <f t="shared" si="52"/>
        <v>-2.7284841053187847E-12</v>
      </c>
      <c r="T114" s="172">
        <f t="shared" si="52"/>
        <v>1.1937117960769683E-12</v>
      </c>
      <c r="U114" s="172">
        <f t="shared" si="52"/>
        <v>0</v>
      </c>
      <c r="V114" s="172">
        <f t="shared" si="52"/>
        <v>-1.1368683772161603E-11</v>
      </c>
      <c r="W114" s="172">
        <f t="shared" si="52"/>
        <v>1.4097167877480388E-11</v>
      </c>
      <c r="X114" s="172">
        <f t="shared" si="52"/>
        <v>1.3073986337985843E-12</v>
      </c>
      <c r="Y114" s="172">
        <f t="shared" si="52"/>
        <v>-2.0463630789890885E-12</v>
      </c>
      <c r="Z114" s="172">
        <f t="shared" si="52"/>
        <v>-1.5205614545266144E-12</v>
      </c>
      <c r="AA114" s="172">
        <f t="shared" si="52"/>
        <v>5.9685589803848416E-13</v>
      </c>
      <c r="AB114" s="173"/>
      <c r="AC114" s="173"/>
      <c r="AD114" s="173"/>
      <c r="AE114" s="173"/>
      <c r="AF114" s="173"/>
      <c r="AG114" s="174"/>
      <c r="AH114" s="252"/>
    </row>
    <row r="115" spans="1:34" ht="13.5" customHeight="1" thickTop="1" x14ac:dyDescent="0.25">
      <c r="A115" s="396" t="s">
        <v>50</v>
      </c>
      <c r="B115" s="398" t="s">
        <v>51</v>
      </c>
      <c r="C115" s="398"/>
      <c r="D115" s="398"/>
      <c r="E115" s="398"/>
      <c r="F115" s="398"/>
      <c r="G115" s="398"/>
      <c r="H115" s="398"/>
      <c r="I115" s="398" t="s">
        <v>52</v>
      </c>
      <c r="J115" s="398"/>
      <c r="K115" s="398"/>
      <c r="L115" s="398"/>
      <c r="M115" s="398"/>
      <c r="N115" s="398"/>
      <c r="O115" s="398"/>
      <c r="P115" s="398" t="s">
        <v>53</v>
      </c>
      <c r="Q115" s="398"/>
      <c r="R115" s="398"/>
      <c r="S115" s="398"/>
      <c r="T115" s="398"/>
      <c r="U115" s="398"/>
      <c r="V115" s="398" t="s">
        <v>54</v>
      </c>
      <c r="W115" s="398"/>
      <c r="X115" s="398"/>
      <c r="Y115" s="398"/>
      <c r="Z115" s="398"/>
      <c r="AA115" s="398"/>
      <c r="AB115" s="398" t="s">
        <v>55</v>
      </c>
      <c r="AC115" s="398"/>
      <c r="AD115" s="398"/>
      <c r="AE115" s="398"/>
      <c r="AF115" s="398"/>
      <c r="AG115" s="399"/>
      <c r="AH115" s="231"/>
    </row>
    <row r="116" spans="1:34" x14ac:dyDescent="0.25">
      <c r="A116" s="397"/>
      <c r="B116" s="390" t="s">
        <v>56</v>
      </c>
      <c r="C116" s="403" t="s">
        <v>57</v>
      </c>
      <c r="D116" s="404"/>
      <c r="E116" s="404"/>
      <c r="F116" s="404"/>
      <c r="G116" s="404"/>
      <c r="H116" s="405"/>
      <c r="I116" s="390" t="s">
        <v>56</v>
      </c>
      <c r="J116" s="223"/>
      <c r="K116" s="388" t="s">
        <v>57</v>
      </c>
      <c r="L116" s="388"/>
      <c r="M116" s="388"/>
      <c r="N116" s="388"/>
      <c r="O116" s="388"/>
      <c r="P116" s="390" t="s">
        <v>56</v>
      </c>
      <c r="Q116" s="388" t="s">
        <v>58</v>
      </c>
      <c r="R116" s="388"/>
      <c r="S116" s="388"/>
      <c r="T116" s="388"/>
      <c r="U116" s="388"/>
      <c r="V116" s="390" t="s">
        <v>56</v>
      </c>
      <c r="W116" s="388" t="s">
        <v>58</v>
      </c>
      <c r="X116" s="388"/>
      <c r="Y116" s="388"/>
      <c r="Z116" s="388"/>
      <c r="AA116" s="388"/>
      <c r="AB116" s="390" t="s">
        <v>56</v>
      </c>
      <c r="AC116" s="388" t="s">
        <v>58</v>
      </c>
      <c r="AD116" s="388"/>
      <c r="AE116" s="388"/>
      <c r="AF116" s="388"/>
      <c r="AG116" s="389"/>
      <c r="AH116" s="231"/>
    </row>
    <row r="117" spans="1:34" x14ac:dyDescent="0.25">
      <c r="A117" s="397"/>
      <c r="B117" s="390"/>
      <c r="C117" s="401" t="s">
        <v>59</v>
      </c>
      <c r="D117" s="390" t="s">
        <v>60</v>
      </c>
      <c r="E117" s="390" t="s">
        <v>61</v>
      </c>
      <c r="F117" s="394" t="s">
        <v>62</v>
      </c>
      <c r="G117" s="394"/>
      <c r="H117" s="394"/>
      <c r="I117" s="390"/>
      <c r="J117" s="401" t="s">
        <v>59</v>
      </c>
      <c r="K117" s="390" t="s">
        <v>60</v>
      </c>
      <c r="L117" s="390" t="s">
        <v>61</v>
      </c>
      <c r="M117" s="394" t="s">
        <v>62</v>
      </c>
      <c r="N117" s="394"/>
      <c r="O117" s="394"/>
      <c r="P117" s="390"/>
      <c r="Q117" s="390" t="s">
        <v>60</v>
      </c>
      <c r="R117" s="391" t="s">
        <v>61</v>
      </c>
      <c r="S117" s="394" t="s">
        <v>62</v>
      </c>
      <c r="T117" s="394"/>
      <c r="U117" s="394"/>
      <c r="V117" s="390"/>
      <c r="W117" s="390" t="s">
        <v>60</v>
      </c>
      <c r="X117" s="391" t="s">
        <v>61</v>
      </c>
      <c r="Y117" s="394" t="s">
        <v>62</v>
      </c>
      <c r="Z117" s="394"/>
      <c r="AA117" s="394"/>
      <c r="AB117" s="390"/>
      <c r="AC117" s="391" t="s">
        <v>60</v>
      </c>
      <c r="AD117" s="391" t="s">
        <v>61</v>
      </c>
      <c r="AE117" s="392" t="s">
        <v>62</v>
      </c>
      <c r="AF117" s="392"/>
      <c r="AG117" s="393"/>
      <c r="AH117" s="232"/>
    </row>
    <row r="118" spans="1:34" ht="54.75" customHeight="1" x14ac:dyDescent="0.25">
      <c r="A118" s="397"/>
      <c r="B118" s="390"/>
      <c r="C118" s="402"/>
      <c r="D118" s="390"/>
      <c r="E118" s="390"/>
      <c r="F118" s="224" t="s">
        <v>63</v>
      </c>
      <c r="G118" s="224" t="s">
        <v>64</v>
      </c>
      <c r="H118" s="224" t="s">
        <v>65</v>
      </c>
      <c r="I118" s="390"/>
      <c r="J118" s="402"/>
      <c r="K118" s="390"/>
      <c r="L118" s="390"/>
      <c r="M118" s="224" t="s">
        <v>63</v>
      </c>
      <c r="N118" s="224" t="s">
        <v>64</v>
      </c>
      <c r="O118" s="224" t="s">
        <v>65</v>
      </c>
      <c r="P118" s="390"/>
      <c r="Q118" s="390"/>
      <c r="R118" s="391"/>
      <c r="S118" s="224" t="s">
        <v>63</v>
      </c>
      <c r="T118" s="224" t="s">
        <v>64</v>
      </c>
      <c r="U118" s="224" t="s">
        <v>65</v>
      </c>
      <c r="V118" s="390"/>
      <c r="W118" s="390"/>
      <c r="X118" s="391"/>
      <c r="Y118" s="224" t="s">
        <v>63</v>
      </c>
      <c r="Z118" s="224" t="s">
        <v>64</v>
      </c>
      <c r="AA118" s="224" t="s">
        <v>65</v>
      </c>
      <c r="AB118" s="390"/>
      <c r="AC118" s="391"/>
      <c r="AD118" s="391"/>
      <c r="AE118" s="11" t="s">
        <v>63</v>
      </c>
      <c r="AF118" s="11" t="s">
        <v>64</v>
      </c>
      <c r="AG118" s="12" t="s">
        <v>106</v>
      </c>
      <c r="AH118" s="233"/>
    </row>
    <row r="119" spans="1:34" x14ac:dyDescent="0.25">
      <c r="A119" s="13" t="s">
        <v>41</v>
      </c>
      <c r="B119" s="14"/>
      <c r="C119" s="14"/>
      <c r="D119" s="15"/>
      <c r="E119" s="14"/>
      <c r="F119" s="16"/>
      <c r="G119" s="16"/>
      <c r="H119" s="16"/>
      <c r="I119" s="14"/>
      <c r="J119" s="14"/>
      <c r="K119" s="14"/>
      <c r="L119" s="14"/>
      <c r="M119" s="16"/>
      <c r="N119" s="16"/>
      <c r="O119" s="16"/>
      <c r="P119" s="14" t="s">
        <v>67</v>
      </c>
      <c r="Q119" s="14" t="s">
        <v>68</v>
      </c>
      <c r="R119" s="14" t="s">
        <v>69</v>
      </c>
      <c r="S119" s="16">
        <v>4</v>
      </c>
      <c r="T119" s="16">
        <v>5</v>
      </c>
      <c r="U119" s="16">
        <v>6</v>
      </c>
      <c r="V119" s="14" t="s">
        <v>70</v>
      </c>
      <c r="W119" s="14" t="s">
        <v>71</v>
      </c>
      <c r="X119" s="14" t="s">
        <v>72</v>
      </c>
      <c r="Y119" s="16">
        <v>10</v>
      </c>
      <c r="Z119" s="16">
        <v>11</v>
      </c>
      <c r="AA119" s="16">
        <v>12</v>
      </c>
      <c r="AB119" s="14" t="s">
        <v>73</v>
      </c>
      <c r="AC119" s="14" t="s">
        <v>74</v>
      </c>
      <c r="AD119" s="14" t="s">
        <v>75</v>
      </c>
      <c r="AE119" s="16" t="s">
        <v>76</v>
      </c>
      <c r="AF119" s="16" t="s">
        <v>77</v>
      </c>
      <c r="AG119" s="17" t="s">
        <v>78</v>
      </c>
      <c r="AH119" s="234"/>
    </row>
    <row r="120" spans="1:34" s="37" customFormat="1" ht="26.4" x14ac:dyDescent="0.25">
      <c r="A120" s="31" t="s">
        <v>150</v>
      </c>
      <c r="B120" s="175">
        <v>7491954181.6899996</v>
      </c>
      <c r="C120" s="175">
        <v>0</v>
      </c>
      <c r="D120" s="175">
        <v>5147869342.79</v>
      </c>
      <c r="E120" s="176">
        <f>F120+G120+H120</f>
        <v>2344084838.9000001</v>
      </c>
      <c r="F120" s="175">
        <v>1341207933.28</v>
      </c>
      <c r="G120" s="175">
        <v>340690287.52999997</v>
      </c>
      <c r="H120" s="175">
        <v>662186618.09000003</v>
      </c>
      <c r="I120" s="175">
        <v>2789217496.5900002</v>
      </c>
      <c r="J120" s="175">
        <v>0</v>
      </c>
      <c r="K120" s="175">
        <v>2377273679.4000001</v>
      </c>
      <c r="L120" s="176">
        <f>M120+N120+O120</f>
        <v>411943817.18999994</v>
      </c>
      <c r="M120" s="175">
        <v>594346515.66999996</v>
      </c>
      <c r="N120" s="175">
        <v>-64034294.100000001</v>
      </c>
      <c r="O120" s="175">
        <v>-118368404.38</v>
      </c>
      <c r="P120" s="34">
        <f t="shared" ref="P120:P128" si="53">B120/1000000</f>
        <v>7491.9541816899991</v>
      </c>
      <c r="Q120" s="34">
        <f t="shared" ref="Q120:S128" si="54">D120/1000000</f>
        <v>5147.8693427899998</v>
      </c>
      <c r="R120" s="34">
        <f>E120/1000000</f>
        <v>2344.0848389000002</v>
      </c>
      <c r="S120" s="34">
        <f>F120/1000000</f>
        <v>1341.2079332799999</v>
      </c>
      <c r="T120" s="34">
        <f t="shared" ref="T120:V128" si="55">G120/1000000</f>
        <v>340.69028752999998</v>
      </c>
      <c r="U120" s="34">
        <f t="shared" si="55"/>
        <v>662.18661809000002</v>
      </c>
      <c r="V120" s="34">
        <f t="shared" si="55"/>
        <v>2789.2174965900003</v>
      </c>
      <c r="W120" s="34">
        <f t="shared" ref="W120:Y128" si="56">K120/1000000</f>
        <v>2377.2736794000002</v>
      </c>
      <c r="X120" s="34">
        <f>L120/1000000</f>
        <v>411.94381718999995</v>
      </c>
      <c r="Y120" s="34">
        <f>M120/1000000</f>
        <v>594.34651566999992</v>
      </c>
      <c r="Z120" s="34">
        <f t="shared" ref="Z120:AA128" si="57">N120/1000000</f>
        <v>-64.034294099999997</v>
      </c>
      <c r="AA120" s="34">
        <f t="shared" si="57"/>
        <v>-118.36840438</v>
      </c>
      <c r="AB120" s="34"/>
      <c r="AC120" s="34"/>
      <c r="AD120" s="34"/>
      <c r="AE120" s="34"/>
      <c r="AF120" s="34"/>
      <c r="AG120" s="35"/>
      <c r="AH120" s="237"/>
    </row>
    <row r="121" spans="1:34" s="37" customFormat="1" x14ac:dyDescent="0.25">
      <c r="A121" s="38" t="s">
        <v>151</v>
      </c>
      <c r="B121" s="175">
        <v>1240758618.77</v>
      </c>
      <c r="C121" s="175">
        <v>0</v>
      </c>
      <c r="D121" s="175">
        <v>486238300</v>
      </c>
      <c r="E121" s="177">
        <f t="shared" ref="E121:E127" si="58">F121+G121+H121</f>
        <v>754520318.76999998</v>
      </c>
      <c r="F121" s="175">
        <v>615668400</v>
      </c>
      <c r="G121" s="175">
        <v>111419421.97</v>
      </c>
      <c r="H121" s="175">
        <v>27432496.800000001</v>
      </c>
      <c r="I121" s="175">
        <v>272037522</v>
      </c>
      <c r="J121" s="175">
        <v>0</v>
      </c>
      <c r="K121" s="175">
        <v>0</v>
      </c>
      <c r="L121" s="177">
        <f t="shared" ref="L121:L127" si="59">M121+N121+O121</f>
        <v>272037522</v>
      </c>
      <c r="M121" s="175">
        <v>175979000</v>
      </c>
      <c r="N121" s="175">
        <v>73608522</v>
      </c>
      <c r="O121" s="175">
        <v>22450000</v>
      </c>
      <c r="P121" s="28">
        <f t="shared" si="53"/>
        <v>1240.7586187699999</v>
      </c>
      <c r="Q121" s="28">
        <f t="shared" si="54"/>
        <v>486.23829999999998</v>
      </c>
      <c r="R121" s="28">
        <f t="shared" si="54"/>
        <v>754.52031877000002</v>
      </c>
      <c r="S121" s="28">
        <f t="shared" si="54"/>
        <v>615.66840000000002</v>
      </c>
      <c r="T121" s="28">
        <f t="shared" si="55"/>
        <v>111.41942197</v>
      </c>
      <c r="U121" s="28">
        <f t="shared" si="55"/>
        <v>27.432496799999999</v>
      </c>
      <c r="V121" s="28">
        <f t="shared" si="55"/>
        <v>272.03752200000002</v>
      </c>
      <c r="W121" s="28">
        <f t="shared" si="56"/>
        <v>0</v>
      </c>
      <c r="X121" s="28">
        <f t="shared" si="56"/>
        <v>272.03752200000002</v>
      </c>
      <c r="Y121" s="28">
        <f t="shared" si="56"/>
        <v>175.97900000000001</v>
      </c>
      <c r="Z121" s="28">
        <f t="shared" si="57"/>
        <v>73.608521999999994</v>
      </c>
      <c r="AA121" s="28">
        <f t="shared" si="57"/>
        <v>22.45</v>
      </c>
      <c r="AB121" s="28"/>
      <c r="AC121" s="28"/>
      <c r="AD121" s="28"/>
      <c r="AE121" s="28"/>
      <c r="AF121" s="28"/>
      <c r="AG121" s="30"/>
      <c r="AH121" s="236"/>
    </row>
    <row r="122" spans="1:34" s="37" customFormat="1" x14ac:dyDescent="0.25">
      <c r="A122" s="38" t="s">
        <v>152</v>
      </c>
      <c r="B122" s="175">
        <v>4433891800</v>
      </c>
      <c r="C122" s="175">
        <v>0</v>
      </c>
      <c r="D122" s="175">
        <v>4433891800</v>
      </c>
      <c r="E122" s="177">
        <f t="shared" si="58"/>
        <v>0</v>
      </c>
      <c r="F122" s="175">
        <v>0</v>
      </c>
      <c r="G122" s="175">
        <v>0</v>
      </c>
      <c r="H122" s="175">
        <v>0</v>
      </c>
      <c r="I122" s="175">
        <v>4433891800</v>
      </c>
      <c r="J122" s="175">
        <v>0</v>
      </c>
      <c r="K122" s="175">
        <v>4433891800</v>
      </c>
      <c r="L122" s="177">
        <f t="shared" si="59"/>
        <v>0</v>
      </c>
      <c r="M122" s="175">
        <v>0</v>
      </c>
      <c r="N122" s="175">
        <v>0</v>
      </c>
      <c r="O122" s="175">
        <v>0</v>
      </c>
      <c r="P122" s="28">
        <f t="shared" si="53"/>
        <v>4433.8918000000003</v>
      </c>
      <c r="Q122" s="28">
        <f t="shared" si="54"/>
        <v>4433.8918000000003</v>
      </c>
      <c r="R122" s="28">
        <f t="shared" si="54"/>
        <v>0</v>
      </c>
      <c r="S122" s="28">
        <f t="shared" si="54"/>
        <v>0</v>
      </c>
      <c r="T122" s="28">
        <f t="shared" si="55"/>
        <v>0</v>
      </c>
      <c r="U122" s="28">
        <f t="shared" si="55"/>
        <v>0</v>
      </c>
      <c r="V122" s="28">
        <f t="shared" si="55"/>
        <v>4433.8918000000003</v>
      </c>
      <c r="W122" s="28">
        <f t="shared" si="56"/>
        <v>4433.8918000000003</v>
      </c>
      <c r="X122" s="28">
        <f t="shared" si="56"/>
        <v>0</v>
      </c>
      <c r="Y122" s="28">
        <f t="shared" si="56"/>
        <v>0</v>
      </c>
      <c r="Z122" s="28">
        <f t="shared" si="57"/>
        <v>0</v>
      </c>
      <c r="AA122" s="28">
        <f t="shared" si="57"/>
        <v>0</v>
      </c>
      <c r="AB122" s="28"/>
      <c r="AC122" s="28"/>
      <c r="AD122" s="28"/>
      <c r="AE122" s="28"/>
      <c r="AF122" s="28"/>
      <c r="AG122" s="30"/>
      <c r="AH122" s="236"/>
    </row>
    <row r="123" spans="1:34" s="37" customFormat="1" ht="26.4" x14ac:dyDescent="0.25">
      <c r="A123" s="38" t="s">
        <v>153</v>
      </c>
      <c r="B123" s="175">
        <v>88739150</v>
      </c>
      <c r="C123" s="175">
        <v>0</v>
      </c>
      <c r="D123" s="175">
        <v>69545550</v>
      </c>
      <c r="E123" s="177">
        <f t="shared" si="58"/>
        <v>19193600</v>
      </c>
      <c r="F123" s="175">
        <v>19193600</v>
      </c>
      <c r="G123" s="175">
        <v>0</v>
      </c>
      <c r="H123" s="175">
        <v>0</v>
      </c>
      <c r="I123" s="175">
        <v>25457150</v>
      </c>
      <c r="J123" s="175">
        <v>0</v>
      </c>
      <c r="K123" s="175">
        <v>6038550</v>
      </c>
      <c r="L123" s="177">
        <f t="shared" si="59"/>
        <v>19418600</v>
      </c>
      <c r="M123" s="175">
        <v>19418600</v>
      </c>
      <c r="N123" s="175">
        <v>0</v>
      </c>
      <c r="O123" s="175">
        <v>0</v>
      </c>
      <c r="P123" s="28">
        <f t="shared" si="53"/>
        <v>88.739149999999995</v>
      </c>
      <c r="Q123" s="28">
        <f t="shared" si="54"/>
        <v>69.545550000000006</v>
      </c>
      <c r="R123" s="28">
        <f t="shared" si="54"/>
        <v>19.1936</v>
      </c>
      <c r="S123" s="28">
        <f t="shared" si="54"/>
        <v>19.1936</v>
      </c>
      <c r="T123" s="28">
        <f t="shared" si="55"/>
        <v>0</v>
      </c>
      <c r="U123" s="28">
        <f t="shared" si="55"/>
        <v>0</v>
      </c>
      <c r="V123" s="28">
        <f t="shared" si="55"/>
        <v>25.457149999999999</v>
      </c>
      <c r="W123" s="28">
        <f t="shared" si="56"/>
        <v>6.0385499999999999</v>
      </c>
      <c r="X123" s="28">
        <f t="shared" si="56"/>
        <v>19.418600000000001</v>
      </c>
      <c r="Y123" s="28">
        <f t="shared" si="56"/>
        <v>19.418600000000001</v>
      </c>
      <c r="Z123" s="28">
        <f t="shared" si="57"/>
        <v>0</v>
      </c>
      <c r="AA123" s="28">
        <f t="shared" si="57"/>
        <v>0</v>
      </c>
      <c r="AB123" s="28">
        <f t="shared" ref="AB123:AE125" si="60">V123/P123%</f>
        <v>28.687619838594351</v>
      </c>
      <c r="AC123" s="28">
        <f t="shared" si="60"/>
        <v>8.6828704352758734</v>
      </c>
      <c r="AD123" s="28">
        <f t="shared" si="60"/>
        <v>101.17226575525176</v>
      </c>
      <c r="AE123" s="28">
        <f t="shared" si="60"/>
        <v>101.17226575525176</v>
      </c>
      <c r="AF123" s="28"/>
      <c r="AG123" s="30"/>
      <c r="AH123" s="236"/>
    </row>
    <row r="124" spans="1:34" s="37" customFormat="1" ht="26.4" x14ac:dyDescent="0.25">
      <c r="A124" s="38" t="s">
        <v>154</v>
      </c>
      <c r="B124" s="175">
        <v>-446500000</v>
      </c>
      <c r="C124" s="175">
        <v>0</v>
      </c>
      <c r="D124" s="175">
        <v>-440000000</v>
      </c>
      <c r="E124" s="177">
        <f t="shared" si="58"/>
        <v>-6500000</v>
      </c>
      <c r="F124" s="175">
        <v>0</v>
      </c>
      <c r="G124" s="175">
        <v>0</v>
      </c>
      <c r="H124" s="175">
        <v>-6500000</v>
      </c>
      <c r="I124" s="175">
        <v>0</v>
      </c>
      <c r="J124" s="175">
        <v>0</v>
      </c>
      <c r="K124" s="175">
        <v>0</v>
      </c>
      <c r="L124" s="177">
        <f t="shared" si="59"/>
        <v>0</v>
      </c>
      <c r="M124" s="175">
        <v>0</v>
      </c>
      <c r="N124" s="175">
        <v>0</v>
      </c>
      <c r="O124" s="175">
        <v>0</v>
      </c>
      <c r="P124" s="28">
        <f t="shared" si="53"/>
        <v>-446.5</v>
      </c>
      <c r="Q124" s="28">
        <f t="shared" si="54"/>
        <v>-440</v>
      </c>
      <c r="R124" s="28">
        <f t="shared" si="54"/>
        <v>-6.5</v>
      </c>
      <c r="S124" s="28">
        <f t="shared" si="54"/>
        <v>0</v>
      </c>
      <c r="T124" s="28">
        <f t="shared" si="55"/>
        <v>0</v>
      </c>
      <c r="U124" s="28">
        <f t="shared" si="55"/>
        <v>-6.5</v>
      </c>
      <c r="V124" s="28">
        <f t="shared" si="55"/>
        <v>0</v>
      </c>
      <c r="W124" s="28">
        <f t="shared" si="56"/>
        <v>0</v>
      </c>
      <c r="X124" s="28">
        <f t="shared" si="56"/>
        <v>0</v>
      </c>
      <c r="Y124" s="28">
        <f t="shared" si="56"/>
        <v>0</v>
      </c>
      <c r="Z124" s="28">
        <f t="shared" si="57"/>
        <v>0</v>
      </c>
      <c r="AA124" s="28">
        <f t="shared" si="57"/>
        <v>0</v>
      </c>
      <c r="AB124" s="28"/>
      <c r="AC124" s="28"/>
      <c r="AD124" s="28"/>
      <c r="AE124" s="28"/>
      <c r="AF124" s="28"/>
      <c r="AG124" s="30"/>
      <c r="AH124" s="236"/>
    </row>
    <row r="125" spans="1:34" s="37" customFormat="1" x14ac:dyDescent="0.25">
      <c r="A125" s="38" t="s">
        <v>155</v>
      </c>
      <c r="B125" s="175">
        <v>25949900</v>
      </c>
      <c r="C125" s="175">
        <v>0</v>
      </c>
      <c r="D125" s="175">
        <v>25499900</v>
      </c>
      <c r="E125" s="177">
        <f t="shared" si="58"/>
        <v>450000</v>
      </c>
      <c r="F125" s="175">
        <v>0</v>
      </c>
      <c r="G125" s="175">
        <v>0</v>
      </c>
      <c r="H125" s="175">
        <v>450000</v>
      </c>
      <c r="I125" s="175">
        <v>27193006.68</v>
      </c>
      <c r="J125" s="175">
        <v>0</v>
      </c>
      <c r="K125" s="175">
        <v>27193006.68</v>
      </c>
      <c r="L125" s="177">
        <f t="shared" si="59"/>
        <v>0</v>
      </c>
      <c r="M125" s="175">
        <v>0</v>
      </c>
      <c r="N125" s="175">
        <v>0</v>
      </c>
      <c r="O125" s="175">
        <v>0</v>
      </c>
      <c r="P125" s="28">
        <f t="shared" si="53"/>
        <v>25.9499</v>
      </c>
      <c r="Q125" s="28">
        <f t="shared" si="54"/>
        <v>25.4999</v>
      </c>
      <c r="R125" s="28">
        <f t="shared" si="54"/>
        <v>0.45</v>
      </c>
      <c r="S125" s="28">
        <f t="shared" si="54"/>
        <v>0</v>
      </c>
      <c r="T125" s="28">
        <f t="shared" si="55"/>
        <v>0</v>
      </c>
      <c r="U125" s="28">
        <f t="shared" si="55"/>
        <v>0.45</v>
      </c>
      <c r="V125" s="28">
        <f t="shared" si="55"/>
        <v>27.19300668</v>
      </c>
      <c r="W125" s="28">
        <f t="shared" si="56"/>
        <v>27.19300668</v>
      </c>
      <c r="X125" s="28">
        <f t="shared" si="56"/>
        <v>0</v>
      </c>
      <c r="Y125" s="28">
        <f t="shared" si="56"/>
        <v>0</v>
      </c>
      <c r="Z125" s="28">
        <f t="shared" si="57"/>
        <v>0</v>
      </c>
      <c r="AA125" s="28">
        <f t="shared" si="57"/>
        <v>0</v>
      </c>
      <c r="AB125" s="28">
        <f t="shared" si="60"/>
        <v>104.79041029059843</v>
      </c>
      <c r="AC125" s="28">
        <f t="shared" si="60"/>
        <v>106.63966007709836</v>
      </c>
      <c r="AD125" s="28">
        <f t="shared" si="60"/>
        <v>0</v>
      </c>
      <c r="AE125" s="28"/>
      <c r="AF125" s="28"/>
      <c r="AG125" s="30">
        <f t="shared" ref="AG125" si="61">AA125/U125%</f>
        <v>0</v>
      </c>
      <c r="AH125" s="236"/>
    </row>
    <row r="126" spans="1:34" s="37" customFormat="1" ht="26.4" x14ac:dyDescent="0.25">
      <c r="A126" s="38" t="s">
        <v>156</v>
      </c>
      <c r="B126" s="175"/>
      <c r="C126" s="175"/>
      <c r="D126" s="175"/>
      <c r="E126" s="177">
        <f t="shared" si="58"/>
        <v>0</v>
      </c>
      <c r="F126" s="175"/>
      <c r="G126" s="175"/>
      <c r="H126" s="175"/>
      <c r="I126" s="175"/>
      <c r="J126" s="175"/>
      <c r="K126" s="175"/>
      <c r="L126" s="177">
        <f t="shared" si="59"/>
        <v>0</v>
      </c>
      <c r="M126" s="175"/>
      <c r="N126" s="175"/>
      <c r="O126" s="175"/>
      <c r="P126" s="28">
        <f t="shared" si="53"/>
        <v>0</v>
      </c>
      <c r="Q126" s="28">
        <f t="shared" si="54"/>
        <v>0</v>
      </c>
      <c r="R126" s="28">
        <f t="shared" si="54"/>
        <v>0</v>
      </c>
      <c r="S126" s="28">
        <f t="shared" si="54"/>
        <v>0</v>
      </c>
      <c r="T126" s="28">
        <f t="shared" si="55"/>
        <v>0</v>
      </c>
      <c r="U126" s="28">
        <f t="shared" si="55"/>
        <v>0</v>
      </c>
      <c r="V126" s="28">
        <f t="shared" si="55"/>
        <v>0</v>
      </c>
      <c r="W126" s="28">
        <f t="shared" si="56"/>
        <v>0</v>
      </c>
      <c r="X126" s="28">
        <f t="shared" si="56"/>
        <v>0</v>
      </c>
      <c r="Y126" s="28">
        <f t="shared" si="56"/>
        <v>0</v>
      </c>
      <c r="Z126" s="28">
        <f t="shared" si="57"/>
        <v>0</v>
      </c>
      <c r="AA126" s="28">
        <f t="shared" si="57"/>
        <v>0</v>
      </c>
      <c r="AB126" s="28"/>
      <c r="AC126" s="28"/>
      <c r="AD126" s="28"/>
      <c r="AE126" s="28"/>
      <c r="AF126" s="28"/>
      <c r="AG126" s="30"/>
      <c r="AH126" s="236"/>
    </row>
    <row r="127" spans="1:34" s="37" customFormat="1" ht="13.8" thickBot="1" x14ac:dyDescent="0.3">
      <c r="A127" s="178" t="s">
        <v>157</v>
      </c>
      <c r="B127" s="179">
        <v>2149114712.9200001</v>
      </c>
      <c r="C127" s="179">
        <v>0</v>
      </c>
      <c r="D127" s="179">
        <v>572693792.78999996</v>
      </c>
      <c r="E127" s="180">
        <f t="shared" si="58"/>
        <v>1576420920.1299999</v>
      </c>
      <c r="F127" s="179">
        <v>706345933.27999997</v>
      </c>
      <c r="G127" s="179">
        <v>229270865.56</v>
      </c>
      <c r="H127" s="179">
        <v>640804121.28999996</v>
      </c>
      <c r="I127" s="179">
        <v>-1969361982.0899999</v>
      </c>
      <c r="J127" s="179">
        <v>0</v>
      </c>
      <c r="K127" s="179">
        <v>-2089849677.28</v>
      </c>
      <c r="L127" s="180">
        <f t="shared" si="59"/>
        <v>120487695.19000003</v>
      </c>
      <c r="M127" s="179">
        <v>398948915.67000002</v>
      </c>
      <c r="N127" s="179">
        <v>-137642816.09999999</v>
      </c>
      <c r="O127" s="179">
        <v>-140818404.38</v>
      </c>
      <c r="P127" s="181">
        <f t="shared" si="53"/>
        <v>2149.1147129199999</v>
      </c>
      <c r="Q127" s="181">
        <f t="shared" si="54"/>
        <v>572.69379278999997</v>
      </c>
      <c r="R127" s="181">
        <f t="shared" si="54"/>
        <v>1576.4209201299998</v>
      </c>
      <c r="S127" s="181">
        <f t="shared" si="54"/>
        <v>706.34593327999994</v>
      </c>
      <c r="T127" s="181">
        <f t="shared" si="55"/>
        <v>229.27086556</v>
      </c>
      <c r="U127" s="181">
        <f t="shared" si="55"/>
        <v>640.80412129000001</v>
      </c>
      <c r="V127" s="181">
        <f t="shared" si="55"/>
        <v>-1969.3619820899999</v>
      </c>
      <c r="W127" s="181">
        <f t="shared" si="56"/>
        <v>-2089.8496772799999</v>
      </c>
      <c r="X127" s="181">
        <f t="shared" si="56"/>
        <v>120.48769519000003</v>
      </c>
      <c r="Y127" s="181">
        <f t="shared" si="56"/>
        <v>398.94891567000002</v>
      </c>
      <c r="Z127" s="181">
        <f t="shared" si="57"/>
        <v>-137.6428161</v>
      </c>
      <c r="AA127" s="181">
        <f t="shared" si="57"/>
        <v>-140.81840438</v>
      </c>
      <c r="AB127" s="181"/>
      <c r="AC127" s="181"/>
      <c r="AD127" s="181"/>
      <c r="AE127" s="181"/>
      <c r="AF127" s="181"/>
      <c r="AG127" s="182"/>
      <c r="AH127" s="236"/>
    </row>
    <row r="128" spans="1:34" s="37" customFormat="1" ht="13.5" hidden="1" thickTop="1" x14ac:dyDescent="0.2">
      <c r="A128" s="183" t="s">
        <v>145</v>
      </c>
      <c r="B128" s="175">
        <f>+B112+B120</f>
        <v>1.239776611328125E-5</v>
      </c>
      <c r="C128" s="175">
        <f t="shared" ref="C128:O128" si="62">+C112+C120</f>
        <v>0</v>
      </c>
      <c r="D128" s="175">
        <f t="shared" si="62"/>
        <v>0</v>
      </c>
      <c r="E128" s="175">
        <f t="shared" si="62"/>
        <v>1.3828277587890625E-5</v>
      </c>
      <c r="F128" s="175">
        <f t="shared" si="62"/>
        <v>-2.6226043701171875E-6</v>
      </c>
      <c r="G128" s="175">
        <f t="shared" si="62"/>
        <v>1.1920928955078125E-6</v>
      </c>
      <c r="H128" s="175">
        <f t="shared" si="62"/>
        <v>0</v>
      </c>
      <c r="I128" s="175">
        <f t="shared" si="62"/>
        <v>-1.1444091796875E-5</v>
      </c>
      <c r="J128" s="175">
        <f t="shared" si="62"/>
        <v>0</v>
      </c>
      <c r="K128" s="175">
        <f t="shared" si="62"/>
        <v>1.3828277587890625E-5</v>
      </c>
      <c r="L128" s="175">
        <f t="shared" si="62"/>
        <v>1.3113021850585938E-6</v>
      </c>
      <c r="M128" s="175">
        <f t="shared" si="62"/>
        <v>-2.0265579223632813E-6</v>
      </c>
      <c r="N128" s="175">
        <f t="shared" si="62"/>
        <v>-1.5273690223693848E-6</v>
      </c>
      <c r="O128" s="175">
        <f t="shared" si="62"/>
        <v>5.9604644775390625E-7</v>
      </c>
      <c r="P128" s="184">
        <f t="shared" si="53"/>
        <v>1.2397766113281249E-11</v>
      </c>
      <c r="Q128" s="184">
        <f t="shared" si="54"/>
        <v>0</v>
      </c>
      <c r="R128" s="184">
        <f t="shared" si="54"/>
        <v>1.3828277587890625E-11</v>
      </c>
      <c r="S128" s="184">
        <f t="shared" si="54"/>
        <v>-2.6226043701171874E-12</v>
      </c>
      <c r="T128" s="184">
        <f t="shared" si="55"/>
        <v>1.1920928955078126E-12</v>
      </c>
      <c r="U128" s="184">
        <f t="shared" si="55"/>
        <v>0</v>
      </c>
      <c r="V128" s="184">
        <f t="shared" si="55"/>
        <v>-1.1444091796875E-11</v>
      </c>
      <c r="W128" s="184">
        <f t="shared" si="56"/>
        <v>1.3828277587890625E-11</v>
      </c>
      <c r="X128" s="184">
        <f t="shared" si="56"/>
        <v>1.3113021850585937E-12</v>
      </c>
      <c r="Y128" s="184">
        <f t="shared" si="56"/>
        <v>-2.0265579223632812E-12</v>
      </c>
      <c r="Z128" s="184">
        <f t="shared" si="57"/>
        <v>-1.5273690223693847E-12</v>
      </c>
      <c r="AA128" s="184">
        <f t="shared" si="57"/>
        <v>5.960464477539063E-13</v>
      </c>
      <c r="AB128" s="184">
        <f t="shared" ref="AB128:AG128" si="63">V128/P128%</f>
        <v>-92.307692307692307</v>
      </c>
      <c r="AC128" s="184" t="e">
        <f t="shared" si="63"/>
        <v>#DIV/0!</v>
      </c>
      <c r="AD128" s="184">
        <f t="shared" si="63"/>
        <v>9.4827586206896566</v>
      </c>
      <c r="AE128" s="184">
        <f t="shared" si="63"/>
        <v>77.27272727272728</v>
      </c>
      <c r="AF128" s="184">
        <f t="shared" si="63"/>
        <v>-128.125</v>
      </c>
      <c r="AG128" s="185" t="e">
        <f t="shared" si="63"/>
        <v>#DIV/0!</v>
      </c>
      <c r="AH128" s="236"/>
    </row>
    <row r="129" spans="1:36" s="37" customFormat="1" ht="13.8" thickTop="1" x14ac:dyDescent="0.25">
      <c r="A129" s="186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87"/>
      <c r="AC129" s="187"/>
      <c r="AD129" s="187"/>
      <c r="AE129" s="187"/>
      <c r="AF129" s="187"/>
      <c r="AG129" s="188"/>
      <c r="AH129" s="187"/>
    </row>
    <row r="130" spans="1:36" s="37" customFormat="1" x14ac:dyDescent="0.25">
      <c r="A130" s="186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87"/>
      <c r="AC130" s="187"/>
      <c r="AD130" s="187"/>
      <c r="AE130" s="187"/>
      <c r="AF130" s="187"/>
      <c r="AG130" s="187"/>
      <c r="AH130" s="187"/>
    </row>
    <row r="131" spans="1:36" s="37" customFormat="1" x14ac:dyDescent="0.25">
      <c r="A131" s="186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87"/>
      <c r="AC131" s="187"/>
      <c r="AD131" s="187"/>
      <c r="AE131" s="187"/>
      <c r="AF131" s="187"/>
      <c r="AG131" s="187"/>
      <c r="AH131" s="187"/>
    </row>
    <row r="132" spans="1:36" s="37" customFormat="1" x14ac:dyDescent="0.25">
      <c r="A132" s="186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87"/>
      <c r="AC132" s="187"/>
      <c r="AD132" s="187"/>
      <c r="AE132" s="187"/>
      <c r="AF132" s="187"/>
      <c r="AG132" s="187"/>
      <c r="AH132" s="187"/>
    </row>
    <row r="133" spans="1:36" s="189" customFormat="1" ht="15.6" customHeight="1" thickBot="1" x14ac:dyDescent="0.3">
      <c r="A133" s="395" t="s">
        <v>158</v>
      </c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395"/>
      <c r="M133" s="395"/>
      <c r="N133" s="395"/>
      <c r="O133" s="395"/>
      <c r="P133" s="395"/>
      <c r="Q133" s="395"/>
      <c r="R133" s="395"/>
      <c r="S133" s="395"/>
      <c r="T133" s="395"/>
      <c r="U133" s="395"/>
      <c r="V133" s="395"/>
      <c r="W133" s="395"/>
      <c r="X133" s="395"/>
      <c r="Y133" s="395"/>
      <c r="Z133" s="395"/>
      <c r="AA133" s="395"/>
      <c r="AB133" s="395"/>
      <c r="AC133" s="395"/>
      <c r="AD133" s="395"/>
      <c r="AE133" s="395"/>
      <c r="AF133" s="395"/>
      <c r="AG133" s="395"/>
      <c r="AH133" s="225"/>
    </row>
    <row r="134" spans="1:36" s="189" customFormat="1" ht="13.8" thickTop="1" x14ac:dyDescent="0.25">
      <c r="A134" s="396" t="s">
        <v>50</v>
      </c>
      <c r="B134" s="398" t="s">
        <v>159</v>
      </c>
      <c r="C134" s="398"/>
      <c r="D134" s="398"/>
      <c r="E134" s="398"/>
      <c r="F134" s="398"/>
      <c r="G134" s="398"/>
      <c r="H134" s="398"/>
      <c r="I134" s="398" t="s">
        <v>160</v>
      </c>
      <c r="J134" s="398"/>
      <c r="K134" s="398"/>
      <c r="L134" s="398"/>
      <c r="M134" s="398"/>
      <c r="N134" s="398"/>
      <c r="O134" s="398"/>
      <c r="P134" s="398" t="s">
        <v>161</v>
      </c>
      <c r="Q134" s="398"/>
      <c r="R134" s="398"/>
      <c r="S134" s="398"/>
      <c r="T134" s="398"/>
      <c r="U134" s="398"/>
      <c r="V134" s="398" t="s">
        <v>162</v>
      </c>
      <c r="W134" s="398"/>
      <c r="X134" s="398"/>
      <c r="Y134" s="398"/>
      <c r="Z134" s="398"/>
      <c r="AA134" s="398"/>
      <c r="AB134" s="398" t="s">
        <v>163</v>
      </c>
      <c r="AC134" s="398"/>
      <c r="AD134" s="398"/>
      <c r="AE134" s="398"/>
      <c r="AF134" s="398"/>
      <c r="AG134" s="399"/>
      <c r="AH134" s="231"/>
    </row>
    <row r="135" spans="1:36" s="189" customFormat="1" x14ac:dyDescent="0.25">
      <c r="A135" s="397"/>
      <c r="B135" s="390" t="s">
        <v>56</v>
      </c>
      <c r="C135" s="388" t="s">
        <v>57</v>
      </c>
      <c r="D135" s="388"/>
      <c r="E135" s="388"/>
      <c r="F135" s="388"/>
      <c r="G135" s="388"/>
      <c r="H135" s="388"/>
      <c r="I135" s="390" t="s">
        <v>56</v>
      </c>
      <c r="J135" s="223"/>
      <c r="K135" s="388" t="s">
        <v>57</v>
      </c>
      <c r="L135" s="388"/>
      <c r="M135" s="388"/>
      <c r="N135" s="388"/>
      <c r="O135" s="388"/>
      <c r="P135" s="390" t="s">
        <v>56</v>
      </c>
      <c r="Q135" s="388" t="s">
        <v>58</v>
      </c>
      <c r="R135" s="388"/>
      <c r="S135" s="388"/>
      <c r="T135" s="388"/>
      <c r="U135" s="388"/>
      <c r="V135" s="390" t="s">
        <v>56</v>
      </c>
      <c r="W135" s="388" t="s">
        <v>58</v>
      </c>
      <c r="X135" s="388"/>
      <c r="Y135" s="388"/>
      <c r="Z135" s="388"/>
      <c r="AA135" s="388"/>
      <c r="AB135" s="390" t="s">
        <v>56</v>
      </c>
      <c r="AC135" s="388" t="s">
        <v>58</v>
      </c>
      <c r="AD135" s="388"/>
      <c r="AE135" s="388"/>
      <c r="AF135" s="388"/>
      <c r="AG135" s="389"/>
      <c r="AH135" s="231"/>
    </row>
    <row r="136" spans="1:36" s="189" customFormat="1" x14ac:dyDescent="0.25">
      <c r="A136" s="397"/>
      <c r="B136" s="390"/>
      <c r="C136" s="400" t="s">
        <v>59</v>
      </c>
      <c r="D136" s="390" t="s">
        <v>60</v>
      </c>
      <c r="E136" s="390" t="s">
        <v>61</v>
      </c>
      <c r="F136" s="394" t="s">
        <v>62</v>
      </c>
      <c r="G136" s="394"/>
      <c r="H136" s="394"/>
      <c r="I136" s="390"/>
      <c r="J136" s="400" t="s">
        <v>59</v>
      </c>
      <c r="K136" s="390" t="s">
        <v>60</v>
      </c>
      <c r="L136" s="390" t="s">
        <v>61</v>
      </c>
      <c r="M136" s="394" t="s">
        <v>62</v>
      </c>
      <c r="N136" s="394"/>
      <c r="O136" s="394"/>
      <c r="P136" s="390"/>
      <c r="Q136" s="390" t="s">
        <v>60</v>
      </c>
      <c r="R136" s="391" t="s">
        <v>61</v>
      </c>
      <c r="S136" s="394" t="s">
        <v>62</v>
      </c>
      <c r="T136" s="394"/>
      <c r="U136" s="394"/>
      <c r="V136" s="390"/>
      <c r="W136" s="390" t="s">
        <v>60</v>
      </c>
      <c r="X136" s="391" t="s">
        <v>61</v>
      </c>
      <c r="Y136" s="394" t="s">
        <v>62</v>
      </c>
      <c r="Z136" s="394"/>
      <c r="AA136" s="394"/>
      <c r="AB136" s="390"/>
      <c r="AC136" s="391" t="s">
        <v>60</v>
      </c>
      <c r="AD136" s="391" t="s">
        <v>61</v>
      </c>
      <c r="AE136" s="392" t="s">
        <v>62</v>
      </c>
      <c r="AF136" s="392"/>
      <c r="AG136" s="393"/>
      <c r="AH136" s="232"/>
    </row>
    <row r="137" spans="1:36" s="189" customFormat="1" ht="48" customHeight="1" x14ac:dyDescent="0.25">
      <c r="A137" s="397"/>
      <c r="B137" s="390"/>
      <c r="C137" s="400"/>
      <c r="D137" s="390"/>
      <c r="E137" s="390"/>
      <c r="F137" s="224" t="s">
        <v>63</v>
      </c>
      <c r="G137" s="224" t="s">
        <v>64</v>
      </c>
      <c r="H137" s="224" t="s">
        <v>65</v>
      </c>
      <c r="I137" s="390"/>
      <c r="J137" s="400"/>
      <c r="K137" s="390"/>
      <c r="L137" s="390"/>
      <c r="M137" s="224" t="s">
        <v>63</v>
      </c>
      <c r="N137" s="224" t="s">
        <v>64</v>
      </c>
      <c r="O137" s="224" t="s">
        <v>65</v>
      </c>
      <c r="P137" s="390"/>
      <c r="Q137" s="390"/>
      <c r="R137" s="391"/>
      <c r="S137" s="224" t="s">
        <v>63</v>
      </c>
      <c r="T137" s="224" t="s">
        <v>64</v>
      </c>
      <c r="U137" s="224" t="s">
        <v>65</v>
      </c>
      <c r="V137" s="390"/>
      <c r="W137" s="390"/>
      <c r="X137" s="391"/>
      <c r="Y137" s="224" t="s">
        <v>63</v>
      </c>
      <c r="Z137" s="224" t="s">
        <v>64</v>
      </c>
      <c r="AA137" s="224" t="s">
        <v>65</v>
      </c>
      <c r="AB137" s="390"/>
      <c r="AC137" s="391"/>
      <c r="AD137" s="391"/>
      <c r="AE137" s="11" t="s">
        <v>63</v>
      </c>
      <c r="AF137" s="11" t="s">
        <v>64</v>
      </c>
      <c r="AG137" s="12" t="s">
        <v>66</v>
      </c>
      <c r="AH137" s="233"/>
    </row>
    <row r="138" spans="1:36" s="37" customFormat="1" ht="26.4" x14ac:dyDescent="0.2">
      <c r="A138" s="31" t="s">
        <v>164</v>
      </c>
      <c r="B138" s="190">
        <f>D138+E138</f>
        <v>2515582782.8899999</v>
      </c>
      <c r="C138" s="191"/>
      <c r="D138" s="191">
        <v>595702000.30999994</v>
      </c>
      <c r="E138" s="190">
        <f>F138+G138+H138</f>
        <v>1919880782.5799999</v>
      </c>
      <c r="F138" s="191">
        <v>873132550.22000003</v>
      </c>
      <c r="G138" s="191">
        <v>348649054.79000002</v>
      </c>
      <c r="H138" s="191">
        <v>698099177.57000005</v>
      </c>
      <c r="I138" s="190">
        <f>K138+L138</f>
        <v>4484776894.9800005</v>
      </c>
      <c r="J138" s="191"/>
      <c r="K138" s="192">
        <f>2685551677.59</f>
        <v>2685551677.5900002</v>
      </c>
      <c r="L138" s="190">
        <f>M138+N138+O138</f>
        <v>1799225217.3900001</v>
      </c>
      <c r="M138" s="192">
        <v>474183634.55000001</v>
      </c>
      <c r="N138" s="192">
        <v>486124000.88999999</v>
      </c>
      <c r="O138" s="192">
        <v>838917581.95000005</v>
      </c>
      <c r="P138" s="34">
        <f>B138/1000000</f>
        <v>2515.5827828900001</v>
      </c>
      <c r="Q138" s="34">
        <f t="shared" ref="Q138:V140" si="64">D138/1000000</f>
        <v>595.7020003099999</v>
      </c>
      <c r="R138" s="34">
        <f t="shared" si="64"/>
        <v>1919.88078258</v>
      </c>
      <c r="S138" s="34">
        <f t="shared" si="64"/>
        <v>873.13255021999998</v>
      </c>
      <c r="T138" s="34">
        <f t="shared" si="64"/>
        <v>348.64905479000004</v>
      </c>
      <c r="U138" s="34">
        <f t="shared" si="64"/>
        <v>698.09917757000005</v>
      </c>
      <c r="V138" s="34">
        <f t="shared" si="64"/>
        <v>4484.7768949800002</v>
      </c>
      <c r="W138" s="34">
        <f t="shared" ref="W138:AA141" si="65">K138/1000000</f>
        <v>2685.5516775900001</v>
      </c>
      <c r="X138" s="34">
        <f t="shared" si="65"/>
        <v>1799.2252173900001</v>
      </c>
      <c r="Y138" s="34">
        <f t="shared" si="65"/>
        <v>474.18363455000002</v>
      </c>
      <c r="Z138" s="34">
        <f t="shared" si="65"/>
        <v>486.12400088999999</v>
      </c>
      <c r="AA138" s="34">
        <f t="shared" si="65"/>
        <v>838.91758195</v>
      </c>
      <c r="AB138" s="34">
        <f>V138-P138</f>
        <v>1969.1941120900001</v>
      </c>
      <c r="AC138" s="34">
        <f>W138-Q138</f>
        <v>2089.8496772799999</v>
      </c>
      <c r="AD138" s="34">
        <f>X138-R138</f>
        <v>-120.65556518999983</v>
      </c>
      <c r="AE138" s="34">
        <f t="shared" ref="AE138:AG141" si="66">Y138-S138</f>
        <v>-398.94891566999996</v>
      </c>
      <c r="AF138" s="34">
        <f t="shared" si="66"/>
        <v>137.47494609999995</v>
      </c>
      <c r="AG138" s="35">
        <f t="shared" si="66"/>
        <v>140.81840437999995</v>
      </c>
      <c r="AH138" s="237"/>
    </row>
    <row r="139" spans="1:36" x14ac:dyDescent="0.25">
      <c r="A139" s="111" t="s">
        <v>165</v>
      </c>
      <c r="B139" s="193">
        <f>D139+E139</f>
        <v>1491862990.9700003</v>
      </c>
      <c r="C139" s="194"/>
      <c r="D139" s="194">
        <v>170728479.86000001</v>
      </c>
      <c r="E139" s="193">
        <f t="shared" ref="E139:E148" si="67">F139+G139+H139</f>
        <v>1321134511.1100001</v>
      </c>
      <c r="F139" s="194">
        <v>656005243.76999998</v>
      </c>
      <c r="G139" s="194">
        <v>150327151.69</v>
      </c>
      <c r="H139" s="194">
        <v>514802115.64999998</v>
      </c>
      <c r="I139" s="193">
        <f>K139+L139</f>
        <v>1716768851.8000002</v>
      </c>
      <c r="J139" s="194"/>
      <c r="K139" s="194">
        <v>286708960.94</v>
      </c>
      <c r="L139" s="193">
        <f t="shared" ref="L139:L148" si="68">M139+N139+O139</f>
        <v>1430059890.8600001</v>
      </c>
      <c r="M139" s="194">
        <v>546244372.11000001</v>
      </c>
      <c r="N139" s="194">
        <v>191723481.91999999</v>
      </c>
      <c r="O139" s="194">
        <v>692092036.83000004</v>
      </c>
      <c r="P139" s="29">
        <f>B139/1000000</f>
        <v>1491.8629909700003</v>
      </c>
      <c r="Q139" s="29">
        <f t="shared" si="64"/>
        <v>170.72847986000002</v>
      </c>
      <c r="R139" s="29">
        <f t="shared" si="64"/>
        <v>1321.1345111100002</v>
      </c>
      <c r="S139" s="29">
        <f t="shared" si="64"/>
        <v>656.00524376999999</v>
      </c>
      <c r="T139" s="29">
        <f t="shared" si="64"/>
        <v>150.32715168999999</v>
      </c>
      <c r="U139" s="29">
        <f t="shared" si="64"/>
        <v>514.80211565000002</v>
      </c>
      <c r="V139" s="28">
        <f t="shared" si="64"/>
        <v>1716.7688518000002</v>
      </c>
      <c r="W139" s="28">
        <f t="shared" si="65"/>
        <v>286.70896094</v>
      </c>
      <c r="X139" s="28">
        <f t="shared" si="65"/>
        <v>1430.0598908600002</v>
      </c>
      <c r="Y139" s="28">
        <f t="shared" si="65"/>
        <v>546.24437210999997</v>
      </c>
      <c r="Z139" s="28">
        <f t="shared" si="65"/>
        <v>191.72348191999998</v>
      </c>
      <c r="AA139" s="28">
        <f t="shared" si="65"/>
        <v>692.0920368300001</v>
      </c>
      <c r="AB139" s="28">
        <f t="shared" ref="AB139:AG148" si="69">V139-P139</f>
        <v>224.90586082999994</v>
      </c>
      <c r="AC139" s="28">
        <f t="shared" si="69"/>
        <v>115.98048107999998</v>
      </c>
      <c r="AD139" s="28">
        <f t="shared" si="69"/>
        <v>108.92537975000005</v>
      </c>
      <c r="AE139" s="28">
        <f t="shared" si="66"/>
        <v>-109.76087166000002</v>
      </c>
      <c r="AF139" s="28">
        <f t="shared" si="66"/>
        <v>41.39633022999999</v>
      </c>
      <c r="AG139" s="30">
        <f t="shared" si="66"/>
        <v>177.28992118000008</v>
      </c>
      <c r="AH139" s="236"/>
    </row>
    <row r="140" spans="1:36" x14ac:dyDescent="0.25">
      <c r="A140" s="111" t="s">
        <v>166</v>
      </c>
      <c r="B140" s="193">
        <f>D140+E140</f>
        <v>474350177.13</v>
      </c>
      <c r="C140" s="194"/>
      <c r="D140" s="195">
        <v>170728479.86000001</v>
      </c>
      <c r="E140" s="193">
        <f t="shared" si="67"/>
        <v>303621697.26999998</v>
      </c>
      <c r="F140" s="194">
        <v>297496887.43000001</v>
      </c>
      <c r="G140" s="194">
        <v>5683768.96</v>
      </c>
      <c r="H140" s="154">
        <v>441040.88</v>
      </c>
      <c r="I140" s="193">
        <f>K140+L140</f>
        <v>300673839.02999997</v>
      </c>
      <c r="J140" s="194"/>
      <c r="K140" s="195">
        <f>K139</f>
        <v>286708960.94</v>
      </c>
      <c r="L140" s="193">
        <f t="shared" si="68"/>
        <v>13964878.09</v>
      </c>
      <c r="M140" s="194">
        <v>8745711.9000000004</v>
      </c>
      <c r="N140" s="194">
        <v>4185880.33</v>
      </c>
      <c r="O140" s="154">
        <v>1033285.86</v>
      </c>
      <c r="P140" s="29">
        <f>B140/1000000</f>
        <v>474.35017713000002</v>
      </c>
      <c r="Q140" s="29">
        <f t="shared" si="64"/>
        <v>170.72847986000002</v>
      </c>
      <c r="R140" s="29">
        <f t="shared" si="64"/>
        <v>303.62169726999997</v>
      </c>
      <c r="S140" s="29">
        <f t="shared" si="64"/>
        <v>297.49688743000002</v>
      </c>
      <c r="T140" s="29">
        <f t="shared" si="64"/>
        <v>5.6837689600000001</v>
      </c>
      <c r="U140" s="29">
        <f t="shared" si="64"/>
        <v>0.44104088000000002</v>
      </c>
      <c r="V140" s="28">
        <f t="shared" si="64"/>
        <v>300.67383902999995</v>
      </c>
      <c r="W140" s="28">
        <f t="shared" si="65"/>
        <v>286.70896094</v>
      </c>
      <c r="X140" s="28">
        <f t="shared" si="65"/>
        <v>13.964878089999999</v>
      </c>
      <c r="Y140" s="28">
        <f t="shared" si="65"/>
        <v>8.7457118999999999</v>
      </c>
      <c r="Z140" s="28">
        <f t="shared" si="65"/>
        <v>4.1858803299999998</v>
      </c>
      <c r="AA140" s="28">
        <f t="shared" si="65"/>
        <v>1.0332858599999999</v>
      </c>
      <c r="AB140" s="28">
        <f t="shared" si="69"/>
        <v>-173.67633810000007</v>
      </c>
      <c r="AC140" s="28">
        <f t="shared" si="69"/>
        <v>115.98048107999998</v>
      </c>
      <c r="AD140" s="28">
        <f t="shared" si="69"/>
        <v>-289.65681917999996</v>
      </c>
      <c r="AE140" s="28">
        <f t="shared" si="66"/>
        <v>-288.75117553000001</v>
      </c>
      <c r="AF140" s="28">
        <f t="shared" si="66"/>
        <v>-1.4978886300000003</v>
      </c>
      <c r="AG140" s="30">
        <f t="shared" si="66"/>
        <v>0.59224497999999981</v>
      </c>
      <c r="AH140" s="236"/>
    </row>
    <row r="141" spans="1:36" x14ac:dyDescent="0.25">
      <c r="A141" s="111" t="s">
        <v>167</v>
      </c>
      <c r="B141" s="193">
        <f>E141</f>
        <v>1017512813.8399999</v>
      </c>
      <c r="C141" s="194"/>
      <c r="D141" s="194"/>
      <c r="E141" s="193">
        <f t="shared" si="67"/>
        <v>1017512813.8399999</v>
      </c>
      <c r="F141" s="196">
        <f>F139-F140</f>
        <v>358508356.33999997</v>
      </c>
      <c r="G141" s="196">
        <f>G139-G140</f>
        <v>144643382.72999999</v>
      </c>
      <c r="H141" s="196">
        <f>H139-H140</f>
        <v>514361074.76999998</v>
      </c>
      <c r="I141" s="193">
        <f>L141</f>
        <v>1416095012.77</v>
      </c>
      <c r="J141" s="194"/>
      <c r="K141" s="194">
        <v>0</v>
      </c>
      <c r="L141" s="193">
        <f t="shared" si="68"/>
        <v>1416095012.77</v>
      </c>
      <c r="M141" s="196">
        <f>M139-M140</f>
        <v>537498660.21000004</v>
      </c>
      <c r="N141" s="196">
        <f>N139-N140</f>
        <v>187537601.58999997</v>
      </c>
      <c r="O141" s="196">
        <f>O139-O140</f>
        <v>691058750.97000003</v>
      </c>
      <c r="P141" s="29">
        <f>B141/1000000</f>
        <v>1017.5128138399999</v>
      </c>
      <c r="Q141" s="29"/>
      <c r="R141" s="29">
        <f>E141/1000000</f>
        <v>1017.5128138399999</v>
      </c>
      <c r="S141" s="29">
        <f>F141/1000000</f>
        <v>358.50835633999998</v>
      </c>
      <c r="T141" s="29">
        <f>G141/1000000</f>
        <v>144.64338272999998</v>
      </c>
      <c r="U141" s="29">
        <f>H141/1000000</f>
        <v>514.36107476999996</v>
      </c>
      <c r="V141" s="28">
        <f>I141/1000000</f>
        <v>1416.09501277</v>
      </c>
      <c r="W141" s="28"/>
      <c r="X141" s="28">
        <f>L141/1000000</f>
        <v>1416.09501277</v>
      </c>
      <c r="Y141" s="28">
        <f>M141/1000000</f>
        <v>537.49866021000003</v>
      </c>
      <c r="Z141" s="28">
        <f t="shared" si="65"/>
        <v>187.53760158999998</v>
      </c>
      <c r="AA141" s="28">
        <f t="shared" si="65"/>
        <v>691.05875097000001</v>
      </c>
      <c r="AB141" s="28">
        <f t="shared" si="69"/>
        <v>398.58219893000012</v>
      </c>
      <c r="AC141" s="51" t="s">
        <v>82</v>
      </c>
      <c r="AD141" s="28">
        <f t="shared" si="69"/>
        <v>398.58219893000012</v>
      </c>
      <c r="AE141" s="28">
        <f t="shared" si="66"/>
        <v>178.99030387000005</v>
      </c>
      <c r="AF141" s="28">
        <f t="shared" si="66"/>
        <v>42.894218859999995</v>
      </c>
      <c r="AG141" s="30">
        <f t="shared" si="66"/>
        <v>176.69767620000005</v>
      </c>
      <c r="AH141" s="236"/>
    </row>
    <row r="142" spans="1:36" s="37" customFormat="1" ht="26.4" x14ac:dyDescent="0.25">
      <c r="A142" s="31" t="s">
        <v>303</v>
      </c>
      <c r="B142" s="190">
        <f>D142+E142</f>
        <v>124909439.08</v>
      </c>
      <c r="C142" s="197"/>
      <c r="D142" s="197"/>
      <c r="E142" s="190">
        <f t="shared" si="67"/>
        <v>124909439.08</v>
      </c>
      <c r="F142" s="191">
        <v>22361207.239999998</v>
      </c>
      <c r="G142" s="191">
        <f>102548231.84-48061841.6</f>
        <v>54486390.240000002</v>
      </c>
      <c r="H142" s="191">
        <v>48061841.599999994</v>
      </c>
      <c r="I142" s="190">
        <f>K142+L142</f>
        <v>202595877.02999997</v>
      </c>
      <c r="J142" s="197"/>
      <c r="K142" s="197"/>
      <c r="L142" s="190">
        <f t="shared" si="68"/>
        <v>202595877.02999997</v>
      </c>
      <c r="M142" s="191">
        <v>46892440.869999997</v>
      </c>
      <c r="N142" s="191">
        <f>155703436.16-93492655.02</f>
        <v>62210781.140000001</v>
      </c>
      <c r="O142" s="191">
        <v>93492655.019999981</v>
      </c>
      <c r="P142" s="34">
        <f t="shared" ref="P142:P148" si="70">B142/1000000</f>
        <v>124.90943908</v>
      </c>
      <c r="Q142" s="34">
        <f t="shared" ref="Q142:V148" si="71">D142/1000000</f>
        <v>0</v>
      </c>
      <c r="R142" s="34">
        <f t="shared" si="71"/>
        <v>124.90943908</v>
      </c>
      <c r="S142" s="34">
        <f t="shared" si="71"/>
        <v>22.361207239999999</v>
      </c>
      <c r="T142" s="34">
        <f t="shared" si="71"/>
        <v>54.486390239999999</v>
      </c>
      <c r="U142" s="34">
        <f t="shared" si="71"/>
        <v>48.061841599999994</v>
      </c>
      <c r="V142" s="34">
        <f t="shared" si="71"/>
        <v>202.59587702999997</v>
      </c>
      <c r="W142" s="34">
        <f t="shared" ref="W142:AA148" si="72">K142/1000000</f>
        <v>0</v>
      </c>
      <c r="X142" s="34">
        <f t="shared" si="72"/>
        <v>202.59587702999997</v>
      </c>
      <c r="Y142" s="34">
        <f t="shared" si="72"/>
        <v>46.892440869999994</v>
      </c>
      <c r="Z142" s="34">
        <f t="shared" si="72"/>
        <v>62.210781140000002</v>
      </c>
      <c r="AA142" s="34">
        <f t="shared" si="72"/>
        <v>93.492655019999987</v>
      </c>
      <c r="AB142" s="34">
        <f t="shared" si="69"/>
        <v>77.68643794999997</v>
      </c>
      <c r="AC142" s="34">
        <f t="shared" si="69"/>
        <v>0</v>
      </c>
      <c r="AD142" s="34">
        <f t="shared" si="69"/>
        <v>77.68643794999997</v>
      </c>
      <c r="AE142" s="34">
        <f t="shared" si="69"/>
        <v>24.531233629999996</v>
      </c>
      <c r="AF142" s="34">
        <f t="shared" si="69"/>
        <v>7.7243909000000031</v>
      </c>
      <c r="AG142" s="35">
        <f t="shared" si="69"/>
        <v>45.430813419999993</v>
      </c>
      <c r="AH142" s="237"/>
    </row>
    <row r="143" spans="1:36" s="37" customFormat="1" x14ac:dyDescent="0.25">
      <c r="A143" s="31" t="s">
        <v>168</v>
      </c>
      <c r="B143" s="190">
        <f>D143+E143-E144</f>
        <v>35401419053.690002</v>
      </c>
      <c r="C143" s="197"/>
      <c r="D143" s="198">
        <f>D144+D147+D148</f>
        <v>32731295000</v>
      </c>
      <c r="E143" s="190">
        <f t="shared" si="67"/>
        <v>3381590718.6900001</v>
      </c>
      <c r="F143" s="198">
        <f>F144+F147+F148</f>
        <v>3131735090</v>
      </c>
      <c r="G143" s="198">
        <f>G144+G147+G148</f>
        <v>246855628.69</v>
      </c>
      <c r="H143" s="198">
        <f>H144+H147+H148</f>
        <v>3000000</v>
      </c>
      <c r="I143" s="190">
        <f>K143+L143-L144</f>
        <v>40414870894.830002</v>
      </c>
      <c r="J143" s="197"/>
      <c r="K143" s="198">
        <f>K144+K147+K148</f>
        <v>37480175300</v>
      </c>
      <c r="L143" s="190">
        <f t="shared" si="68"/>
        <v>3646162259.8299999</v>
      </c>
      <c r="M143" s="198">
        <f>M144+M147+M148</f>
        <v>3307714090</v>
      </c>
      <c r="N143" s="198">
        <f>N144+N147+N148</f>
        <v>312998169.82999998</v>
      </c>
      <c r="O143" s="198">
        <f>O144+O147+O148</f>
        <v>25450000</v>
      </c>
      <c r="P143" s="34">
        <f t="shared" si="70"/>
        <v>35401.419053690006</v>
      </c>
      <c r="Q143" s="34">
        <f t="shared" si="71"/>
        <v>32731.294999999998</v>
      </c>
      <c r="R143" s="34">
        <f t="shared" si="71"/>
        <v>3381.5907186899999</v>
      </c>
      <c r="S143" s="34">
        <f t="shared" si="71"/>
        <v>3131.7350900000001</v>
      </c>
      <c r="T143" s="34">
        <f t="shared" si="71"/>
        <v>246.85562869</v>
      </c>
      <c r="U143" s="34">
        <f t="shared" si="71"/>
        <v>3</v>
      </c>
      <c r="V143" s="34">
        <f t="shared" si="71"/>
        <v>40414.870894830005</v>
      </c>
      <c r="W143" s="34">
        <f t="shared" si="72"/>
        <v>37480.175300000003</v>
      </c>
      <c r="X143" s="34">
        <f t="shared" si="72"/>
        <v>3646.16225983</v>
      </c>
      <c r="Y143" s="34">
        <f t="shared" si="72"/>
        <v>3307.7140899999999</v>
      </c>
      <c r="Z143" s="34">
        <f t="shared" si="72"/>
        <v>312.99816982999999</v>
      </c>
      <c r="AA143" s="34">
        <f t="shared" si="72"/>
        <v>25.45</v>
      </c>
      <c r="AB143" s="34">
        <f t="shared" si="69"/>
        <v>5013.4518411399986</v>
      </c>
      <c r="AC143" s="34">
        <f t="shared" si="69"/>
        <v>4748.8803000000044</v>
      </c>
      <c r="AD143" s="34">
        <f t="shared" si="69"/>
        <v>264.57154114000014</v>
      </c>
      <c r="AE143" s="34">
        <f t="shared" si="69"/>
        <v>175.97899999999981</v>
      </c>
      <c r="AF143" s="34">
        <f t="shared" si="69"/>
        <v>66.142541139999992</v>
      </c>
      <c r="AG143" s="35">
        <f t="shared" si="69"/>
        <v>22.45</v>
      </c>
      <c r="AH143" s="237"/>
      <c r="AI143" s="7">
        <f t="shared" ref="AI143:AI148" si="73">AD143*1000</f>
        <v>264571.54114000016</v>
      </c>
      <c r="AJ143" s="69"/>
    </row>
    <row r="144" spans="1:36" x14ac:dyDescent="0.25">
      <c r="A144" s="38" t="s">
        <v>169</v>
      </c>
      <c r="B144" s="193">
        <f>D144</f>
        <v>10682891000</v>
      </c>
      <c r="C144" s="194"/>
      <c r="D144" s="199">
        <f>D145+D146</f>
        <v>10682891000</v>
      </c>
      <c r="E144" s="193">
        <f t="shared" si="67"/>
        <v>711466665</v>
      </c>
      <c r="F144" s="199">
        <f>F145+F146</f>
        <v>711466665</v>
      </c>
      <c r="G144" s="199">
        <f>G145+G146</f>
        <v>0</v>
      </c>
      <c r="H144" s="199">
        <f>H145+H146</f>
        <v>0</v>
      </c>
      <c r="I144" s="193">
        <f>K144</f>
        <v>15131770800</v>
      </c>
      <c r="J144" s="194"/>
      <c r="K144" s="199">
        <f>K145+K146</f>
        <v>15131770800</v>
      </c>
      <c r="L144" s="193">
        <f t="shared" si="68"/>
        <v>711466665</v>
      </c>
      <c r="M144" s="199">
        <f>M145+M146</f>
        <v>711466665</v>
      </c>
      <c r="N144" s="199">
        <f>N145+N146</f>
        <v>0</v>
      </c>
      <c r="O144" s="199">
        <f>O145+O146</f>
        <v>0</v>
      </c>
      <c r="P144" s="28">
        <f t="shared" si="70"/>
        <v>10682.891</v>
      </c>
      <c r="Q144" s="28">
        <f t="shared" si="71"/>
        <v>10682.891</v>
      </c>
      <c r="R144" s="28">
        <f t="shared" si="71"/>
        <v>711.46666500000003</v>
      </c>
      <c r="S144" s="28">
        <f t="shared" si="71"/>
        <v>711.46666500000003</v>
      </c>
      <c r="T144" s="28">
        <f t="shared" si="71"/>
        <v>0</v>
      </c>
      <c r="U144" s="28">
        <f t="shared" si="71"/>
        <v>0</v>
      </c>
      <c r="V144" s="28">
        <f t="shared" si="71"/>
        <v>15131.7708</v>
      </c>
      <c r="W144" s="28">
        <f t="shared" si="72"/>
        <v>15131.7708</v>
      </c>
      <c r="X144" s="28">
        <f t="shared" si="72"/>
        <v>711.46666500000003</v>
      </c>
      <c r="Y144" s="28">
        <f t="shared" si="72"/>
        <v>711.46666500000003</v>
      </c>
      <c r="Z144" s="28">
        <f t="shared" si="72"/>
        <v>0</v>
      </c>
      <c r="AA144" s="28">
        <f t="shared" si="72"/>
        <v>0</v>
      </c>
      <c r="AB144" s="28">
        <f t="shared" si="69"/>
        <v>4448.8798000000006</v>
      </c>
      <c r="AC144" s="28">
        <f t="shared" si="69"/>
        <v>4448.8798000000006</v>
      </c>
      <c r="AD144" s="28">
        <f t="shared" si="69"/>
        <v>0</v>
      </c>
      <c r="AE144" s="28">
        <f t="shared" si="69"/>
        <v>0</v>
      </c>
      <c r="AF144" s="28">
        <f t="shared" si="69"/>
        <v>0</v>
      </c>
      <c r="AG144" s="30">
        <f t="shared" si="69"/>
        <v>0</v>
      </c>
      <c r="AH144" s="236"/>
      <c r="AI144" s="7">
        <f t="shared" si="73"/>
        <v>0</v>
      </c>
    </row>
    <row r="145" spans="1:35" ht="12.75" hidden="1" x14ac:dyDescent="0.2">
      <c r="A145" s="24" t="s">
        <v>170</v>
      </c>
      <c r="B145" s="193">
        <f>D145</f>
        <v>10682891000</v>
      </c>
      <c r="C145" s="194"/>
      <c r="D145" s="200">
        <f>10682.891*1000000</f>
        <v>10682891000</v>
      </c>
      <c r="E145" s="193">
        <f t="shared" si="67"/>
        <v>711466665</v>
      </c>
      <c r="F145" s="200">
        <v>711466665</v>
      </c>
      <c r="G145" s="200"/>
      <c r="H145" s="200"/>
      <c r="I145" s="193">
        <f>K145</f>
        <v>15131770800</v>
      </c>
      <c r="J145" s="194"/>
      <c r="K145" s="200">
        <f>15131770.8*1000</f>
        <v>15131770800</v>
      </c>
      <c r="L145" s="193">
        <f t="shared" si="68"/>
        <v>711466665</v>
      </c>
      <c r="M145" s="200">
        <v>711466665</v>
      </c>
      <c r="N145" s="200"/>
      <c r="O145" s="200"/>
      <c r="P145" s="28">
        <f t="shared" si="70"/>
        <v>10682.891</v>
      </c>
      <c r="Q145" s="28">
        <f t="shared" si="71"/>
        <v>10682.891</v>
      </c>
      <c r="R145" s="28">
        <f t="shared" si="71"/>
        <v>711.46666500000003</v>
      </c>
      <c r="S145" s="28">
        <f t="shared" si="71"/>
        <v>711.46666500000003</v>
      </c>
      <c r="T145" s="28">
        <f t="shared" si="71"/>
        <v>0</v>
      </c>
      <c r="U145" s="28">
        <f t="shared" si="71"/>
        <v>0</v>
      </c>
      <c r="V145" s="28">
        <f t="shared" si="71"/>
        <v>15131.7708</v>
      </c>
      <c r="W145" s="28">
        <f t="shared" si="72"/>
        <v>15131.7708</v>
      </c>
      <c r="X145" s="28">
        <f t="shared" si="72"/>
        <v>711.46666500000003</v>
      </c>
      <c r="Y145" s="28">
        <f t="shared" si="72"/>
        <v>711.46666500000003</v>
      </c>
      <c r="Z145" s="28">
        <f t="shared" si="72"/>
        <v>0</v>
      </c>
      <c r="AA145" s="28">
        <f t="shared" si="72"/>
        <v>0</v>
      </c>
      <c r="AB145" s="28">
        <f t="shared" si="69"/>
        <v>4448.8798000000006</v>
      </c>
      <c r="AC145" s="28">
        <f t="shared" si="69"/>
        <v>4448.8798000000006</v>
      </c>
      <c r="AD145" s="28">
        <f t="shared" si="69"/>
        <v>0</v>
      </c>
      <c r="AE145" s="28">
        <f t="shared" si="69"/>
        <v>0</v>
      </c>
      <c r="AF145" s="28">
        <f t="shared" si="69"/>
        <v>0</v>
      </c>
      <c r="AG145" s="30">
        <f t="shared" si="69"/>
        <v>0</v>
      </c>
      <c r="AH145" s="236"/>
      <c r="AI145" s="7">
        <f t="shared" si="73"/>
        <v>0</v>
      </c>
    </row>
    <row r="146" spans="1:35" ht="12.75" hidden="1" x14ac:dyDescent="0.2">
      <c r="A146" s="24" t="s">
        <v>171</v>
      </c>
      <c r="B146" s="193">
        <f>D146</f>
        <v>0</v>
      </c>
      <c r="C146" s="194"/>
      <c r="D146" s="200"/>
      <c r="E146" s="193">
        <f t="shared" si="67"/>
        <v>0</v>
      </c>
      <c r="F146" s="200"/>
      <c r="G146" s="200"/>
      <c r="H146" s="200"/>
      <c r="I146" s="193">
        <f>K146</f>
        <v>0</v>
      </c>
      <c r="J146" s="194"/>
      <c r="K146" s="200"/>
      <c r="L146" s="193">
        <f t="shared" si="68"/>
        <v>0</v>
      </c>
      <c r="M146" s="200"/>
      <c r="N146" s="200"/>
      <c r="O146" s="200"/>
      <c r="P146" s="28">
        <f t="shared" si="70"/>
        <v>0</v>
      </c>
      <c r="Q146" s="28">
        <f t="shared" si="71"/>
        <v>0</v>
      </c>
      <c r="R146" s="28">
        <f t="shared" si="71"/>
        <v>0</v>
      </c>
      <c r="S146" s="28">
        <f t="shared" si="71"/>
        <v>0</v>
      </c>
      <c r="T146" s="28">
        <f t="shared" si="71"/>
        <v>0</v>
      </c>
      <c r="U146" s="28">
        <f t="shared" si="71"/>
        <v>0</v>
      </c>
      <c r="V146" s="28">
        <f t="shared" si="71"/>
        <v>0</v>
      </c>
      <c r="W146" s="28">
        <f t="shared" si="72"/>
        <v>0</v>
      </c>
      <c r="X146" s="28">
        <f t="shared" si="72"/>
        <v>0</v>
      </c>
      <c r="Y146" s="28">
        <f t="shared" si="72"/>
        <v>0</v>
      </c>
      <c r="Z146" s="28">
        <f t="shared" si="72"/>
        <v>0</v>
      </c>
      <c r="AA146" s="28">
        <f t="shared" si="72"/>
        <v>0</v>
      </c>
      <c r="AB146" s="28">
        <f t="shared" si="69"/>
        <v>0</v>
      </c>
      <c r="AC146" s="28">
        <f t="shared" si="69"/>
        <v>0</v>
      </c>
      <c r="AD146" s="28">
        <f t="shared" si="69"/>
        <v>0</v>
      </c>
      <c r="AE146" s="28">
        <f t="shared" si="69"/>
        <v>0</v>
      </c>
      <c r="AF146" s="28">
        <f t="shared" si="69"/>
        <v>0</v>
      </c>
      <c r="AG146" s="30">
        <f t="shared" si="69"/>
        <v>0</v>
      </c>
      <c r="AH146" s="236"/>
      <c r="AI146" s="7">
        <f t="shared" si="73"/>
        <v>0</v>
      </c>
    </row>
    <row r="147" spans="1:35" x14ac:dyDescent="0.25">
      <c r="A147" s="38" t="s">
        <v>172</v>
      </c>
      <c r="B147" s="193">
        <f>D147+E147</f>
        <v>24262808003</v>
      </c>
      <c r="C147" s="194"/>
      <c r="D147" s="200">
        <f>21608.404*1000000</f>
        <v>21608404000</v>
      </c>
      <c r="E147" s="193">
        <f t="shared" si="67"/>
        <v>2654404003</v>
      </c>
      <c r="F147" s="194">
        <v>2420268425</v>
      </c>
      <c r="G147" s="194">
        <v>231135578</v>
      </c>
      <c r="H147" s="194">
        <v>3000000</v>
      </c>
      <c r="I147" s="193">
        <f>K147+L147</f>
        <v>24534846025</v>
      </c>
      <c r="J147" s="194"/>
      <c r="K147" s="200">
        <f>21608404.5*1000</f>
        <v>21608404500</v>
      </c>
      <c r="L147" s="193">
        <f t="shared" si="68"/>
        <v>2926441525</v>
      </c>
      <c r="M147" s="194">
        <v>2596247425</v>
      </c>
      <c r="N147" s="194">
        <v>304744100</v>
      </c>
      <c r="O147" s="194">
        <v>25450000</v>
      </c>
      <c r="P147" s="28">
        <f t="shared" si="70"/>
        <v>24262.808002999998</v>
      </c>
      <c r="Q147" s="28">
        <f t="shared" si="71"/>
        <v>21608.403999999999</v>
      </c>
      <c r="R147" s="28">
        <f t="shared" si="71"/>
        <v>2654.4040030000001</v>
      </c>
      <c r="S147" s="28">
        <f t="shared" si="71"/>
        <v>2420.2684250000002</v>
      </c>
      <c r="T147" s="28">
        <f t="shared" si="71"/>
        <v>231.13557800000001</v>
      </c>
      <c r="U147" s="28">
        <f t="shared" si="71"/>
        <v>3</v>
      </c>
      <c r="V147" s="28">
        <f t="shared" si="71"/>
        <v>24534.846024999999</v>
      </c>
      <c r="W147" s="28">
        <f t="shared" si="72"/>
        <v>21608.404500000001</v>
      </c>
      <c r="X147" s="28">
        <f t="shared" si="72"/>
        <v>2926.4415250000002</v>
      </c>
      <c r="Y147" s="28">
        <f t="shared" si="72"/>
        <v>2596.247425</v>
      </c>
      <c r="Z147" s="28">
        <f t="shared" si="72"/>
        <v>304.7441</v>
      </c>
      <c r="AA147" s="28">
        <f t="shared" si="72"/>
        <v>25.45</v>
      </c>
      <c r="AB147" s="28">
        <f t="shared" si="69"/>
        <v>272.03802200000064</v>
      </c>
      <c r="AC147" s="201">
        <f t="shared" si="69"/>
        <v>5.0000000192085281E-4</v>
      </c>
      <c r="AD147" s="28">
        <f t="shared" si="69"/>
        <v>272.03752200000008</v>
      </c>
      <c r="AE147" s="28">
        <f t="shared" si="69"/>
        <v>175.97899999999981</v>
      </c>
      <c r="AF147" s="28">
        <f t="shared" si="69"/>
        <v>73.608521999999994</v>
      </c>
      <c r="AG147" s="30">
        <f t="shared" si="69"/>
        <v>22.45</v>
      </c>
      <c r="AH147" s="236"/>
      <c r="AI147" s="7">
        <f t="shared" si="73"/>
        <v>272037.52200000006</v>
      </c>
    </row>
    <row r="148" spans="1:35" ht="13.8" thickBot="1" x14ac:dyDescent="0.3">
      <c r="A148" s="178" t="s">
        <v>173</v>
      </c>
      <c r="B148" s="202">
        <f>D148+E148</f>
        <v>455720050.69</v>
      </c>
      <c r="C148" s="203"/>
      <c r="D148" s="204">
        <f>440*1000000</f>
        <v>440000000</v>
      </c>
      <c r="E148" s="202">
        <f t="shared" si="67"/>
        <v>15720050.689999999</v>
      </c>
      <c r="F148" s="203">
        <v>0</v>
      </c>
      <c r="G148" s="203">
        <v>15720050.689999999</v>
      </c>
      <c r="H148" s="203"/>
      <c r="I148" s="202">
        <f>K148+L148</f>
        <v>748254069.83000004</v>
      </c>
      <c r="J148" s="203"/>
      <c r="K148" s="204">
        <f>740000*1000</f>
        <v>740000000</v>
      </c>
      <c r="L148" s="202">
        <f t="shared" si="68"/>
        <v>8254069.8299999991</v>
      </c>
      <c r="M148" s="203"/>
      <c r="N148" s="203">
        <v>8254069.8299999991</v>
      </c>
      <c r="O148" s="203"/>
      <c r="P148" s="181">
        <f t="shared" si="70"/>
        <v>455.72005068999999</v>
      </c>
      <c r="Q148" s="181">
        <f t="shared" si="71"/>
        <v>440</v>
      </c>
      <c r="R148" s="181">
        <f t="shared" si="71"/>
        <v>15.720050689999999</v>
      </c>
      <c r="S148" s="181">
        <f t="shared" si="71"/>
        <v>0</v>
      </c>
      <c r="T148" s="181">
        <f t="shared" si="71"/>
        <v>15.720050689999999</v>
      </c>
      <c r="U148" s="181">
        <f t="shared" si="71"/>
        <v>0</v>
      </c>
      <c r="V148" s="181">
        <f t="shared" si="71"/>
        <v>748.25406983000005</v>
      </c>
      <c r="W148" s="181">
        <f t="shared" si="72"/>
        <v>740</v>
      </c>
      <c r="X148" s="181">
        <f t="shared" si="72"/>
        <v>8.2540698299999988</v>
      </c>
      <c r="Y148" s="181">
        <f t="shared" si="72"/>
        <v>0</v>
      </c>
      <c r="Z148" s="181">
        <f t="shared" si="72"/>
        <v>8.2540698299999988</v>
      </c>
      <c r="AA148" s="181">
        <f t="shared" si="72"/>
        <v>0</v>
      </c>
      <c r="AB148" s="181">
        <f t="shared" si="69"/>
        <v>292.53401914000005</v>
      </c>
      <c r="AC148" s="181">
        <f t="shared" si="69"/>
        <v>300</v>
      </c>
      <c r="AD148" s="181">
        <f t="shared" si="69"/>
        <v>-7.4659808600000002</v>
      </c>
      <c r="AE148" s="181">
        <f t="shared" si="69"/>
        <v>0</v>
      </c>
      <c r="AF148" s="181">
        <f t="shared" si="69"/>
        <v>-7.4659808600000002</v>
      </c>
      <c r="AG148" s="182">
        <f t="shared" si="69"/>
        <v>0</v>
      </c>
      <c r="AH148" s="236"/>
      <c r="AI148" s="7">
        <f t="shared" si="73"/>
        <v>-7465.9808600000006</v>
      </c>
    </row>
    <row r="149" spans="1:35" ht="13.8" thickTop="1" x14ac:dyDescent="0.25"/>
    <row r="150" spans="1:35" hidden="1" x14ac:dyDescent="0.25">
      <c r="V150" s="7">
        <f>V142/P142%</f>
        <v>162.19420927848742</v>
      </c>
      <c r="X150" s="49">
        <f>X147/R147%</f>
        <v>110.24853495144461</v>
      </c>
    </row>
    <row r="154" spans="1:35" x14ac:dyDescent="0.25">
      <c r="X154" s="9"/>
    </row>
  </sheetData>
  <mergeCells count="135">
    <mergeCell ref="AD1:AG1"/>
    <mergeCell ref="A2:AG2"/>
    <mergeCell ref="A4:A7"/>
    <mergeCell ref="B4:H4"/>
    <mergeCell ref="I4:O4"/>
    <mergeCell ref="P4:U4"/>
    <mergeCell ref="V4:AA4"/>
    <mergeCell ref="AB4:AG4"/>
    <mergeCell ref="B5:B7"/>
    <mergeCell ref="C5:H5"/>
    <mergeCell ref="I5:I7"/>
    <mergeCell ref="AC5:AG5"/>
    <mergeCell ref="C6:C7"/>
    <mergeCell ref="D6:D7"/>
    <mergeCell ref="E6:E7"/>
    <mergeCell ref="F6:H6"/>
    <mergeCell ref="J6:J7"/>
    <mergeCell ref="K6:K7"/>
    <mergeCell ref="L6:L7"/>
    <mergeCell ref="M6:O6"/>
    <mergeCell ref="Q6:Q7"/>
    <mergeCell ref="K5:O5"/>
    <mergeCell ref="P5:P7"/>
    <mergeCell ref="Q5:U5"/>
    <mergeCell ref="V5:V7"/>
    <mergeCell ref="W5:AA5"/>
    <mergeCell ref="AB5:AB7"/>
    <mergeCell ref="R6:R7"/>
    <mergeCell ref="S6:U6"/>
    <mergeCell ref="W6:W7"/>
    <mergeCell ref="X6:X7"/>
    <mergeCell ref="Y6:AA6"/>
    <mergeCell ref="AC6:AC7"/>
    <mergeCell ref="AD6:AD7"/>
    <mergeCell ref="AE6:AG6"/>
    <mergeCell ref="A44:A47"/>
    <mergeCell ref="B44:H44"/>
    <mergeCell ref="I44:O44"/>
    <mergeCell ref="P44:U44"/>
    <mergeCell ref="V44:AA44"/>
    <mergeCell ref="AB44:AG44"/>
    <mergeCell ref="J46:J47"/>
    <mergeCell ref="K46:K47"/>
    <mergeCell ref="B45:B47"/>
    <mergeCell ref="C45:H45"/>
    <mergeCell ref="I45:I47"/>
    <mergeCell ref="K45:O45"/>
    <mergeCell ref="P45:P47"/>
    <mergeCell ref="Q45:U45"/>
    <mergeCell ref="L46:L47"/>
    <mergeCell ref="M46:O46"/>
    <mergeCell ref="Q46:Q47"/>
    <mergeCell ref="R46:R47"/>
    <mergeCell ref="AE46:AG46"/>
    <mergeCell ref="S46:U46"/>
    <mergeCell ref="W46:W47"/>
    <mergeCell ref="X46:X47"/>
    <mergeCell ref="A115:A118"/>
    <mergeCell ref="B115:H115"/>
    <mergeCell ref="I115:O115"/>
    <mergeCell ref="P115:U115"/>
    <mergeCell ref="V115:AA115"/>
    <mergeCell ref="AB115:AG115"/>
    <mergeCell ref="B116:B118"/>
    <mergeCell ref="C116:H116"/>
    <mergeCell ref="I116:I118"/>
    <mergeCell ref="AC116:AG116"/>
    <mergeCell ref="C117:C118"/>
    <mergeCell ref="D117:D118"/>
    <mergeCell ref="E117:E118"/>
    <mergeCell ref="F117:H117"/>
    <mergeCell ref="J117:J118"/>
    <mergeCell ref="K117:K118"/>
    <mergeCell ref="L117:L118"/>
    <mergeCell ref="M117:O117"/>
    <mergeCell ref="Q117:Q118"/>
    <mergeCell ref="K116:O116"/>
    <mergeCell ref="P116:P118"/>
    <mergeCell ref="Q116:U116"/>
    <mergeCell ref="V116:V118"/>
    <mergeCell ref="W116:AA116"/>
    <mergeCell ref="AC46:AC47"/>
    <mergeCell ref="AD46:AD47"/>
    <mergeCell ref="V45:V47"/>
    <mergeCell ref="W45:AA45"/>
    <mergeCell ref="AB45:AB47"/>
    <mergeCell ref="AC45:AG45"/>
    <mergeCell ref="C46:C47"/>
    <mergeCell ref="D46:D47"/>
    <mergeCell ref="E46:E47"/>
    <mergeCell ref="F46:H46"/>
    <mergeCell ref="Y46:AA46"/>
    <mergeCell ref="AB116:AB118"/>
    <mergeCell ref="R117:R118"/>
    <mergeCell ref="S117:U117"/>
    <mergeCell ref="W117:W118"/>
    <mergeCell ref="X117:X118"/>
    <mergeCell ref="Y117:AA117"/>
    <mergeCell ref="AC117:AC118"/>
    <mergeCell ref="AD117:AD118"/>
    <mergeCell ref="AE117:AG117"/>
    <mergeCell ref="A133:AG133"/>
    <mergeCell ref="A134:A137"/>
    <mergeCell ref="B134:H134"/>
    <mergeCell ref="I134:O134"/>
    <mergeCell ref="P134:U134"/>
    <mergeCell ref="V134:AA134"/>
    <mergeCell ref="AB134:AG134"/>
    <mergeCell ref="B135:B137"/>
    <mergeCell ref="C135:H135"/>
    <mergeCell ref="I135:I137"/>
    <mergeCell ref="K135:O135"/>
    <mergeCell ref="P135:P137"/>
    <mergeCell ref="Q135:U135"/>
    <mergeCell ref="V135:V137"/>
    <mergeCell ref="W135:AA135"/>
    <mergeCell ref="AB135:AB137"/>
    <mergeCell ref="C136:C137"/>
    <mergeCell ref="D136:D137"/>
    <mergeCell ref="E136:E137"/>
    <mergeCell ref="F136:H136"/>
    <mergeCell ref="J136:J137"/>
    <mergeCell ref="K136:K137"/>
    <mergeCell ref="L136:L137"/>
    <mergeCell ref="M136:O136"/>
    <mergeCell ref="AC135:AG135"/>
    <mergeCell ref="Q136:Q137"/>
    <mergeCell ref="AD136:AD137"/>
    <mergeCell ref="AE136:AG136"/>
    <mergeCell ref="R136:R137"/>
    <mergeCell ref="S136:U136"/>
    <mergeCell ref="W136:W137"/>
    <mergeCell ref="X136:X137"/>
    <mergeCell ref="Y136:AA136"/>
    <mergeCell ref="AC136:AC137"/>
  </mergeCells>
  <pageMargins left="0.19685039370078741" right="0.19685039370078741" top="0.94488188976377963" bottom="0.35433070866141736" header="0.70866141732283472" footer="0.11811023622047245"/>
  <pageSetup paperSize="9" scale="71" fitToHeight="1000" orientation="landscape" r:id="rId1"/>
  <headerFooter>
    <oddFooter>&amp;C&amp;8&amp;P</oddFooter>
  </headerFooter>
  <rowBreaks count="2" manualBreakCount="2">
    <brk id="38" max="16383" man="1"/>
    <brk id="112" max="16383" man="1"/>
  </rowBreaks>
  <colBreaks count="1" manualBreakCount="1">
    <brk id="3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opLeftCell="I41" workbookViewId="0">
      <selection activeCell="I7" sqref="I7"/>
    </sheetView>
  </sheetViews>
  <sheetFormatPr defaultColWidth="8.19921875" defaultRowHeight="13.2" x14ac:dyDescent="0.25"/>
  <cols>
    <col min="1" max="1" width="27.5" style="205" customWidth="1"/>
    <col min="2" max="2" width="10.3984375" style="206" hidden="1" customWidth="1"/>
    <col min="3" max="3" width="8.69921875" style="206" hidden="1" customWidth="1"/>
    <col min="4" max="4" width="10.19921875" style="206" bestFit="1" customWidth="1"/>
    <col min="5" max="5" width="8.69921875" style="206" bestFit="1" customWidth="1"/>
    <col min="6" max="7" width="9.19921875" style="206" bestFit="1" customWidth="1"/>
    <col min="8" max="8" width="11.09765625" style="206" bestFit="1" customWidth="1"/>
    <col min="9" max="9" width="5.8984375" style="206" customWidth="1"/>
    <col min="10" max="10" width="11.09765625" style="206" bestFit="1" customWidth="1"/>
    <col min="11" max="11" width="5.8984375" style="206" customWidth="1"/>
    <col min="12" max="12" width="7.69921875" style="206" hidden="1" customWidth="1"/>
    <col min="13" max="13" width="11.09765625" style="206" bestFit="1" customWidth="1"/>
    <col min="14" max="14" width="6.3984375" style="206" customWidth="1"/>
    <col min="15" max="15" width="11.09765625" style="206" bestFit="1" customWidth="1"/>
    <col min="16" max="16" width="6.19921875" style="206" customWidth="1"/>
    <col min="17" max="17" width="0" style="206" hidden="1" customWidth="1"/>
    <col min="18" max="18" width="10.19921875" style="206" bestFit="1" customWidth="1"/>
    <col min="19" max="19" width="8.19921875" style="206"/>
    <col min="20" max="20" width="8.69921875" style="206" bestFit="1" customWidth="1"/>
    <col min="21" max="21" width="9.19921875" style="206" bestFit="1" customWidth="1"/>
    <col min="22" max="23" width="10.19921875" style="206" bestFit="1" customWidth="1"/>
    <col min="24" max="24" width="8.69921875" style="206" bestFit="1" customWidth="1"/>
    <col min="25" max="25" width="9.59765625" style="206" customWidth="1"/>
    <col min="26" max="16384" width="8.19921875" style="206"/>
  </cols>
  <sheetData>
    <row r="1" spans="1:25" x14ac:dyDescent="0.25">
      <c r="Y1" s="207" t="s">
        <v>497</v>
      </c>
    </row>
    <row r="2" spans="1:25" s="205" customFormat="1" ht="49.5" customHeight="1" x14ac:dyDescent="0.25">
      <c r="A2" s="421" t="s">
        <v>506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</row>
    <row r="3" spans="1:25" s="205" customFormat="1" ht="13.8" thickBot="1" x14ac:dyDescent="0.3">
      <c r="O3" s="311"/>
      <c r="P3" s="311"/>
      <c r="Q3" s="311"/>
      <c r="Y3" s="208" t="s">
        <v>406</v>
      </c>
    </row>
    <row r="4" spans="1:25" s="310" customFormat="1" ht="13.5" customHeight="1" thickTop="1" x14ac:dyDescent="0.25">
      <c r="A4" s="422" t="s">
        <v>423</v>
      </c>
      <c r="B4" s="424" t="s">
        <v>424</v>
      </c>
      <c r="C4" s="424"/>
      <c r="D4" s="424"/>
      <c r="E4" s="424"/>
      <c r="F4" s="424"/>
      <c r="G4" s="424"/>
      <c r="H4" s="424" t="s">
        <v>425</v>
      </c>
      <c r="I4" s="424"/>
      <c r="J4" s="424"/>
      <c r="K4" s="424"/>
      <c r="L4" s="424"/>
      <c r="M4" s="424" t="s">
        <v>426</v>
      </c>
      <c r="N4" s="424"/>
      <c r="O4" s="424"/>
      <c r="P4" s="424"/>
      <c r="Q4" s="424"/>
      <c r="R4" s="424" t="s">
        <v>427</v>
      </c>
      <c r="S4" s="424"/>
      <c r="T4" s="424"/>
      <c r="U4" s="424"/>
      <c r="V4" s="424"/>
      <c r="W4" s="424"/>
      <c r="X4" s="424"/>
      <c r="Y4" s="419"/>
    </row>
    <row r="5" spans="1:25" s="310" customFormat="1" x14ac:dyDescent="0.25">
      <c r="A5" s="423"/>
      <c r="B5" s="425" t="s">
        <v>428</v>
      </c>
      <c r="C5" s="425"/>
      <c r="D5" s="425" t="s">
        <v>429</v>
      </c>
      <c r="E5" s="425"/>
      <c r="F5" s="425" t="s">
        <v>507</v>
      </c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 t="s">
        <v>430</v>
      </c>
      <c r="S5" s="425"/>
      <c r="T5" s="425"/>
      <c r="U5" s="425"/>
      <c r="V5" s="425" t="s">
        <v>431</v>
      </c>
      <c r="W5" s="425"/>
      <c r="X5" s="425"/>
      <c r="Y5" s="420"/>
    </row>
    <row r="6" spans="1:25" s="310" customFormat="1" ht="52.8" x14ac:dyDescent="0.25">
      <c r="A6" s="423"/>
      <c r="B6" s="309" t="s">
        <v>432</v>
      </c>
      <c r="C6" s="309" t="s">
        <v>433</v>
      </c>
      <c r="D6" s="309" t="s">
        <v>432</v>
      </c>
      <c r="E6" s="309" t="s">
        <v>433</v>
      </c>
      <c r="F6" s="309" t="s">
        <v>432</v>
      </c>
      <c r="G6" s="309" t="s">
        <v>433</v>
      </c>
      <c r="H6" s="309" t="s">
        <v>432</v>
      </c>
      <c r="I6" s="312" t="s">
        <v>434</v>
      </c>
      <c r="J6" s="309" t="s">
        <v>433</v>
      </c>
      <c r="K6" s="312" t="s">
        <v>434</v>
      </c>
      <c r="L6" s="312" t="s">
        <v>435</v>
      </c>
      <c r="M6" s="309" t="s">
        <v>432</v>
      </c>
      <c r="N6" s="312" t="s">
        <v>434</v>
      </c>
      <c r="O6" s="309" t="s">
        <v>433</v>
      </c>
      <c r="P6" s="312" t="s">
        <v>434</v>
      </c>
      <c r="Q6" s="312" t="s">
        <v>436</v>
      </c>
      <c r="R6" s="309" t="s">
        <v>429</v>
      </c>
      <c r="S6" s="309" t="s">
        <v>446</v>
      </c>
      <c r="T6" s="309" t="s">
        <v>433</v>
      </c>
      <c r="U6" s="312" t="s">
        <v>438</v>
      </c>
      <c r="V6" s="309" t="s">
        <v>429</v>
      </c>
      <c r="W6" s="309" t="s">
        <v>437</v>
      </c>
      <c r="X6" s="309" t="s">
        <v>433</v>
      </c>
      <c r="Y6" s="313" t="s">
        <v>438</v>
      </c>
    </row>
    <row r="7" spans="1:25" s="291" customFormat="1" ht="10.199999999999999" x14ac:dyDescent="0.25">
      <c r="A7" s="288" t="s">
        <v>41</v>
      </c>
      <c r="B7" s="289">
        <v>1</v>
      </c>
      <c r="C7" s="289">
        <v>2</v>
      </c>
      <c r="D7" s="289">
        <v>1</v>
      </c>
      <c r="E7" s="289">
        <v>2</v>
      </c>
      <c r="F7" s="289">
        <v>3</v>
      </c>
      <c r="G7" s="289">
        <v>4</v>
      </c>
      <c r="H7" s="289">
        <v>5</v>
      </c>
      <c r="I7" s="289">
        <v>6</v>
      </c>
      <c r="J7" s="289">
        <v>7</v>
      </c>
      <c r="K7" s="289">
        <v>8</v>
      </c>
      <c r="L7" s="289" t="s">
        <v>439</v>
      </c>
      <c r="M7" s="289">
        <v>9</v>
      </c>
      <c r="N7" s="289">
        <v>10</v>
      </c>
      <c r="O7" s="289">
        <v>11</v>
      </c>
      <c r="P7" s="289">
        <v>12</v>
      </c>
      <c r="Q7" s="289" t="s">
        <v>440</v>
      </c>
      <c r="R7" s="289">
        <v>13</v>
      </c>
      <c r="S7" s="289">
        <v>14</v>
      </c>
      <c r="T7" s="289">
        <v>15</v>
      </c>
      <c r="U7" s="289">
        <v>16</v>
      </c>
      <c r="V7" s="289">
        <v>17</v>
      </c>
      <c r="W7" s="289">
        <v>18</v>
      </c>
      <c r="X7" s="289">
        <v>19</v>
      </c>
      <c r="Y7" s="290">
        <v>20</v>
      </c>
    </row>
    <row r="8" spans="1:25" ht="26.4" x14ac:dyDescent="0.25">
      <c r="A8" s="134" t="s">
        <v>407</v>
      </c>
      <c r="B8" s="29">
        <f>'[2]ГАО и ГБУ_все средства'!B6</f>
        <v>323455.11414999998</v>
      </c>
      <c r="C8" s="29">
        <f>'[2]ГБУ и ГАО_бюдж.'!B6</f>
        <v>295414.22711000004</v>
      </c>
      <c r="D8" s="29">
        <v>25387.840270000001</v>
      </c>
      <c r="E8" s="29">
        <v>0</v>
      </c>
      <c r="F8" s="29">
        <v>-298067.27387999999</v>
      </c>
      <c r="G8" s="29">
        <v>-295414.22711000004</v>
      </c>
      <c r="H8" s="29">
        <v>732756.52687000006</v>
      </c>
      <c r="I8" s="295">
        <v>69.828219884810181</v>
      </c>
      <c r="J8" s="29">
        <v>567536.80370000005</v>
      </c>
      <c r="K8" s="295">
        <v>66.843120338511639</v>
      </c>
      <c r="L8" s="29">
        <v>77.452302762045278</v>
      </c>
      <c r="M8" s="29">
        <v>1030823.8007500001</v>
      </c>
      <c r="N8" s="295">
        <v>77.200470571834813</v>
      </c>
      <c r="O8" s="29">
        <v>862951.03080999991</v>
      </c>
      <c r="P8" s="295">
        <v>75.401663286231596</v>
      </c>
      <c r="Q8" s="29">
        <v>83.714697912692714</v>
      </c>
      <c r="R8" s="29">
        <v>510731.60153999995</v>
      </c>
      <c r="S8" s="29">
        <v>-68942.931559999939</v>
      </c>
      <c r="T8" s="29">
        <v>325749.30949000001</v>
      </c>
      <c r="U8" s="29">
        <v>-171347.34723999994</v>
      </c>
      <c r="V8" s="29">
        <v>192834.93917000003</v>
      </c>
      <c r="W8" s="29">
        <v>227272.88713000002</v>
      </c>
      <c r="X8" s="29">
        <v>14518.336240000001</v>
      </c>
      <c r="Y8" s="42">
        <v>53191.942970000004</v>
      </c>
    </row>
    <row r="9" spans="1:25" ht="52.8" x14ac:dyDescent="0.25">
      <c r="A9" s="134" t="s">
        <v>408</v>
      </c>
      <c r="B9" s="29">
        <f>'[2]ГАО и ГБУ_все средства'!B7</f>
        <v>3164.4826699999999</v>
      </c>
      <c r="C9" s="29">
        <f>'[2]ГБУ и ГАО_бюдж.'!B7</f>
        <v>133.61698999999999</v>
      </c>
      <c r="D9" s="29">
        <v>3606.11231</v>
      </c>
      <c r="E9" s="29">
        <v>0</v>
      </c>
      <c r="F9" s="29">
        <v>441.62964000000011</v>
      </c>
      <c r="G9" s="29">
        <v>-133.61698999999999</v>
      </c>
      <c r="H9" s="29">
        <v>48287.44169</v>
      </c>
      <c r="I9" s="295">
        <v>101.77333714594612</v>
      </c>
      <c r="J9" s="29">
        <v>34570.354039999998</v>
      </c>
      <c r="K9" s="29">
        <v>99.999999999999986</v>
      </c>
      <c r="L9" s="29">
        <v>71.592846566479594</v>
      </c>
      <c r="M9" s="29">
        <v>47845.81205</v>
      </c>
      <c r="N9" s="29">
        <v>99.903857871552162</v>
      </c>
      <c r="O9" s="29">
        <v>34703.971030000001</v>
      </c>
      <c r="P9" s="295">
        <v>100</v>
      </c>
      <c r="Q9" s="29">
        <v>72.53293348586817</v>
      </c>
      <c r="R9" s="29">
        <v>488.51506999999998</v>
      </c>
      <c r="S9" s="29">
        <v>-676.90521999999999</v>
      </c>
      <c r="T9" s="29">
        <v>71.355320000000006</v>
      </c>
      <c r="U9" s="29">
        <v>-27.73590999999999</v>
      </c>
      <c r="V9" s="29">
        <v>509.36142999999998</v>
      </c>
      <c r="W9" s="29">
        <v>-133.28677999999996</v>
      </c>
      <c r="X9" s="29">
        <v>44.652099999999997</v>
      </c>
      <c r="Y9" s="42">
        <v>-97.563379999999981</v>
      </c>
    </row>
    <row r="10" spans="1:25" ht="39.6" x14ac:dyDescent="0.25">
      <c r="A10" s="134" t="s">
        <v>409</v>
      </c>
      <c r="B10" s="29">
        <f>'[2]ГАО и ГБУ_все средства'!B8</f>
        <v>55277.191049999994</v>
      </c>
      <c r="C10" s="29">
        <f>'[2]ГБУ и ГАО_бюдж.'!B8</f>
        <v>53957.764710000003</v>
      </c>
      <c r="D10" s="29">
        <v>13263.578210000001</v>
      </c>
      <c r="E10" s="29">
        <v>12458.793970000001</v>
      </c>
      <c r="F10" s="29">
        <v>-42013.612839999994</v>
      </c>
      <c r="G10" s="29">
        <v>-41498.970740000004</v>
      </c>
      <c r="H10" s="29">
        <v>351755.65717000002</v>
      </c>
      <c r="I10" s="29">
        <v>97.713019670514015</v>
      </c>
      <c r="J10" s="29">
        <v>298426.45088999998</v>
      </c>
      <c r="K10" s="29">
        <v>99.336919739453549</v>
      </c>
      <c r="L10" s="29">
        <v>84.839133303767568</v>
      </c>
      <c r="M10" s="29">
        <v>393769.27000999998</v>
      </c>
      <c r="N10" s="29">
        <v>95.018512104075825</v>
      </c>
      <c r="O10" s="29">
        <v>339925.42163</v>
      </c>
      <c r="P10" s="29">
        <v>95.922184320007844</v>
      </c>
      <c r="Q10" s="29">
        <v>86.326041039557865</v>
      </c>
      <c r="R10" s="29">
        <v>54946.094290000001</v>
      </c>
      <c r="S10" s="29">
        <v>16447.601759999998</v>
      </c>
      <c r="T10" s="29">
        <v>1601.8054399999999</v>
      </c>
      <c r="U10" s="29">
        <v>-143.95373999999998</v>
      </c>
      <c r="V10" s="29">
        <v>140132.80012</v>
      </c>
      <c r="W10" s="29">
        <v>-5500.0957699999808</v>
      </c>
      <c r="X10" s="29">
        <v>9692.8605700000007</v>
      </c>
      <c r="Y10" s="42">
        <v>-17799.376410000001</v>
      </c>
    </row>
    <row r="11" spans="1:25" x14ac:dyDescent="0.25">
      <c r="A11" s="134" t="s">
        <v>410</v>
      </c>
      <c r="B11" s="29">
        <f>'[2]ГАО и ГБУ_все средства'!B9</f>
        <v>1455252.59644</v>
      </c>
      <c r="C11" s="29">
        <f>'[2]ГБУ и ГАО_бюдж.'!B9</f>
        <v>229621.47373</v>
      </c>
      <c r="D11" s="29">
        <v>2062369.1669700001</v>
      </c>
      <c r="E11" s="29">
        <v>436466.69535000005</v>
      </c>
      <c r="F11" s="29">
        <v>607116.57053000014</v>
      </c>
      <c r="G11" s="29">
        <v>206845.22162000005</v>
      </c>
      <c r="H11" s="29">
        <v>20413156.343509998</v>
      </c>
      <c r="I11" s="29">
        <v>98.273717453225288</v>
      </c>
      <c r="J11" s="29">
        <v>3399328.4133699997</v>
      </c>
      <c r="K11" s="29">
        <v>99.937750564961661</v>
      </c>
      <c r="L11" s="295">
        <v>16.652634977984459</v>
      </c>
      <c r="M11" s="29">
        <v>19813758.445860002</v>
      </c>
      <c r="N11" s="29">
        <v>90.687972163760591</v>
      </c>
      <c r="O11" s="29">
        <v>3197563.75569</v>
      </c>
      <c r="P11" s="29">
        <v>88.535800784453855</v>
      </c>
      <c r="Q11" s="295">
        <v>16.138098001079229</v>
      </c>
      <c r="R11" s="29">
        <v>574775.10101999994</v>
      </c>
      <c r="S11" s="29">
        <v>66183.434029999975</v>
      </c>
      <c r="T11" s="29">
        <v>49515.882869999994</v>
      </c>
      <c r="U11" s="29">
        <v>27332.464389999997</v>
      </c>
      <c r="V11" s="29">
        <v>1370420.2094099999</v>
      </c>
      <c r="W11" s="29">
        <v>397164.67694999982</v>
      </c>
      <c r="X11" s="29">
        <v>157313.02505000003</v>
      </c>
      <c r="Y11" s="42">
        <v>63705.296120000021</v>
      </c>
    </row>
    <row r="12" spans="1:25" x14ac:dyDescent="0.25">
      <c r="A12" s="134" t="s">
        <v>504</v>
      </c>
      <c r="B12" s="29">
        <f>'[2]ГАО и ГБУ_все средства'!B10</f>
        <v>41265.267670000001</v>
      </c>
      <c r="C12" s="29">
        <f>'[2]ГБУ и ГАО_бюдж.'!B10</f>
        <v>27999.563870000002</v>
      </c>
      <c r="D12" s="29">
        <v>32635.272690000002</v>
      </c>
      <c r="E12" s="29">
        <v>28349.860399999998</v>
      </c>
      <c r="F12" s="29">
        <v>-8629.9949799999995</v>
      </c>
      <c r="G12" s="29">
        <v>350.29652999999598</v>
      </c>
      <c r="H12" s="29">
        <v>870479.91200000001</v>
      </c>
      <c r="I12" s="295">
        <v>100</v>
      </c>
      <c r="J12" s="29">
        <v>741629.40114999993</v>
      </c>
      <c r="K12" s="29">
        <v>100</v>
      </c>
      <c r="L12" s="29">
        <v>85.197761708945663</v>
      </c>
      <c r="M12" s="29">
        <v>879127.7692000001</v>
      </c>
      <c r="N12" s="29">
        <v>96.433320824766895</v>
      </c>
      <c r="O12" s="29">
        <v>741280.03364000004</v>
      </c>
      <c r="P12" s="29">
        <v>96.316545677401407</v>
      </c>
      <c r="Q12" s="29">
        <v>84.319942971948151</v>
      </c>
      <c r="R12" s="29">
        <v>11862.255739999999</v>
      </c>
      <c r="S12" s="29">
        <v>-7116.629969999999</v>
      </c>
      <c r="T12" s="29">
        <v>7873.0549700000001</v>
      </c>
      <c r="U12" s="29">
        <v>-3914.9844600000001</v>
      </c>
      <c r="V12" s="29">
        <v>28646.719239999999</v>
      </c>
      <c r="W12" s="29">
        <v>11481.958899999998</v>
      </c>
      <c r="X12" s="29">
        <v>7428.3937699999997</v>
      </c>
      <c r="Y12" s="42">
        <v>-1746.0294000000004</v>
      </c>
    </row>
    <row r="13" spans="1:25" ht="26.4" x14ac:dyDescent="0.25">
      <c r="A13" s="134" t="s">
        <v>411</v>
      </c>
      <c r="B13" s="29">
        <f>'[2]ГАО и ГБУ_все средства'!B11</f>
        <v>50862.556539999998</v>
      </c>
      <c r="C13" s="29">
        <f>'[2]ГБУ и ГАО_бюдж.'!B11</f>
        <v>33867.508329999997</v>
      </c>
      <c r="D13" s="29">
        <v>69083.841050000003</v>
      </c>
      <c r="E13" s="29">
        <v>51061.852989999999</v>
      </c>
      <c r="F13" s="29">
        <v>18221.284510000005</v>
      </c>
      <c r="G13" s="29">
        <v>17194.344660000002</v>
      </c>
      <c r="H13" s="29">
        <v>4356850.8400299996</v>
      </c>
      <c r="I13" s="29">
        <v>99.867531861365691</v>
      </c>
      <c r="J13" s="29">
        <v>4070555.2101799999</v>
      </c>
      <c r="K13" s="29">
        <v>99.896311104798443</v>
      </c>
      <c r="L13" s="29">
        <v>93.428840225156108</v>
      </c>
      <c r="M13" s="29">
        <v>4339078.6881099995</v>
      </c>
      <c r="N13" s="29">
        <v>98.794364405667437</v>
      </c>
      <c r="O13" s="29">
        <v>4053360.86552</v>
      </c>
      <c r="P13" s="29">
        <v>98.888196865991063</v>
      </c>
      <c r="Q13" s="29">
        <v>93.415242194779111</v>
      </c>
      <c r="R13" s="29">
        <v>138380.09432</v>
      </c>
      <c r="S13" s="29">
        <v>88975.918689999991</v>
      </c>
      <c r="T13" s="29">
        <v>101428.93247</v>
      </c>
      <c r="U13" s="29">
        <v>70300.185710000005</v>
      </c>
      <c r="V13" s="29">
        <v>162635.47305</v>
      </c>
      <c r="W13" s="29">
        <v>109955.58704000003</v>
      </c>
      <c r="X13" s="29">
        <v>122403.78303000001</v>
      </c>
      <c r="Y13" s="42">
        <v>84840.873090000008</v>
      </c>
    </row>
    <row r="14" spans="1:25" ht="39.6" x14ac:dyDescent="0.25">
      <c r="A14" s="134" t="s">
        <v>412</v>
      </c>
      <c r="B14" s="29">
        <f>'[2]ГАО и ГБУ_все средства'!B12</f>
        <v>1836.82735</v>
      </c>
      <c r="C14" s="29">
        <f>'[2]ГБУ и ГАО_бюдж.'!B12</f>
        <v>101</v>
      </c>
      <c r="D14" s="29">
        <v>594.65616</v>
      </c>
      <c r="E14" s="29">
        <v>0</v>
      </c>
      <c r="F14" s="29">
        <v>-1242.17119</v>
      </c>
      <c r="G14" s="29">
        <v>-101</v>
      </c>
      <c r="H14" s="29">
        <v>5106.0825300000006</v>
      </c>
      <c r="I14" s="29">
        <v>93.535126030408506</v>
      </c>
      <c r="J14" s="29">
        <v>513.6</v>
      </c>
      <c r="K14" s="295">
        <v>83.566547347868536</v>
      </c>
      <c r="L14" s="295">
        <v>10.058591826168543</v>
      </c>
      <c r="M14" s="29">
        <v>6348.2537199999997</v>
      </c>
      <c r="N14" s="295">
        <v>100.03430560512642</v>
      </c>
      <c r="O14" s="29">
        <v>614.6</v>
      </c>
      <c r="P14" s="295">
        <v>100</v>
      </c>
      <c r="Q14" s="295">
        <v>9.6814025889311814</v>
      </c>
      <c r="R14" s="29">
        <v>835.95677999999998</v>
      </c>
      <c r="S14" s="29">
        <v>788.06537000000003</v>
      </c>
      <c r="T14" s="29">
        <v>0</v>
      </c>
      <c r="U14" s="29">
        <v>-10.81256</v>
      </c>
      <c r="V14" s="29">
        <v>526.50778000000003</v>
      </c>
      <c r="W14" s="29">
        <v>157.42684999999997</v>
      </c>
      <c r="X14" s="29">
        <v>0</v>
      </c>
      <c r="Y14" s="42">
        <v>-182.70739</v>
      </c>
    </row>
    <row r="15" spans="1:25" x14ac:dyDescent="0.25">
      <c r="A15" s="134" t="s">
        <v>413</v>
      </c>
      <c r="B15" s="29">
        <f>'[2]ГАО и ГБУ_все средства'!B13</f>
        <v>20688.593489999999</v>
      </c>
      <c r="C15" s="29">
        <f>'[2]ГБУ и ГАО_бюдж.'!B13</f>
        <v>7782.0016799999994</v>
      </c>
      <c r="D15" s="29">
        <v>17127.96299</v>
      </c>
      <c r="E15" s="29">
        <v>4621.9604900000004</v>
      </c>
      <c r="F15" s="29">
        <v>-3560.6304999999993</v>
      </c>
      <c r="G15" s="29">
        <v>-3160.041189999999</v>
      </c>
      <c r="H15" s="29">
        <v>120501.61508</v>
      </c>
      <c r="I15" s="295">
        <v>100.40276550310013</v>
      </c>
      <c r="J15" s="29">
        <v>55809.4</v>
      </c>
      <c r="K15" s="29">
        <v>100</v>
      </c>
      <c r="L15" s="29">
        <v>46.314234014995243</v>
      </c>
      <c r="M15" s="29">
        <v>124062.24558</v>
      </c>
      <c r="N15" s="295">
        <v>88.170742970565669</v>
      </c>
      <c r="O15" s="29">
        <v>58969.441189999998</v>
      </c>
      <c r="P15" s="29">
        <v>92.731783908053643</v>
      </c>
      <c r="Q15" s="29">
        <v>47.532140752662968</v>
      </c>
      <c r="R15" s="29">
        <v>4876.3434100000004</v>
      </c>
      <c r="S15" s="29">
        <v>-1692.1369099999993</v>
      </c>
      <c r="T15" s="29">
        <v>5.8484999999999996</v>
      </c>
      <c r="U15" s="29">
        <v>-13.020970000000002</v>
      </c>
      <c r="V15" s="29">
        <v>50862.724759999997</v>
      </c>
      <c r="W15" s="29">
        <v>42938.107599999996</v>
      </c>
      <c r="X15" s="29">
        <v>47936.375789999998</v>
      </c>
      <c r="Y15" s="42">
        <v>46338.459229999993</v>
      </c>
    </row>
    <row r="16" spans="1:25" ht="39.6" x14ac:dyDescent="0.25">
      <c r="A16" s="134" t="s">
        <v>414</v>
      </c>
      <c r="B16" s="29">
        <f>'[2]ГАО и ГБУ_все средства'!B14</f>
        <v>68946.78770999999</v>
      </c>
      <c r="C16" s="29">
        <f>'[2]ГБУ и ГАО_бюдж.'!B14</f>
        <v>68439.839010000011</v>
      </c>
      <c r="D16" s="29">
        <v>69466.561659999992</v>
      </c>
      <c r="E16" s="29">
        <v>68777.381040000007</v>
      </c>
      <c r="F16" s="29">
        <v>519.77395000000251</v>
      </c>
      <c r="G16" s="29">
        <v>337.54202999999688</v>
      </c>
      <c r="H16" s="29">
        <v>11173.2765</v>
      </c>
      <c r="I16" s="295">
        <v>77.671680803977381</v>
      </c>
      <c r="J16" s="29">
        <v>9535.6489999999994</v>
      </c>
      <c r="K16" s="295">
        <v>77.90125025823609</v>
      </c>
      <c r="L16" s="29">
        <v>85.34335474468925</v>
      </c>
      <c r="M16" s="29">
        <v>10653.502550000001</v>
      </c>
      <c r="N16" s="295">
        <v>13.288596033678958</v>
      </c>
      <c r="O16" s="29">
        <v>9198.1069700000007</v>
      </c>
      <c r="P16" s="295">
        <v>11.78856246525009</v>
      </c>
      <c r="Q16" s="29">
        <v>86.338806667859657</v>
      </c>
      <c r="R16" s="29">
        <v>798.96046999999999</v>
      </c>
      <c r="S16" s="29">
        <v>138.11022999999986</v>
      </c>
      <c r="T16" s="29">
        <v>142.66999999999999</v>
      </c>
      <c r="U16" s="29">
        <v>124.59882</v>
      </c>
      <c r="V16" s="29">
        <v>67150.68379000001</v>
      </c>
      <c r="W16" s="29">
        <v>67065.667600000015</v>
      </c>
      <c r="X16" s="29">
        <v>67024.070399999997</v>
      </c>
      <c r="Y16" s="42">
        <v>67024.581749999998</v>
      </c>
    </row>
    <row r="17" spans="1:25" x14ac:dyDescent="0.25">
      <c r="A17" s="134" t="s">
        <v>415</v>
      </c>
      <c r="B17" s="29">
        <f>'[2]ГАО и ГБУ_все средства'!B15</f>
        <v>339.59852000000001</v>
      </c>
      <c r="C17" s="29">
        <f>'[2]ГБУ и ГАО_бюдж.'!B15</f>
        <v>77.505920000000003</v>
      </c>
      <c r="D17" s="29">
        <v>402.03985999999998</v>
      </c>
      <c r="E17" s="29">
        <v>0</v>
      </c>
      <c r="F17" s="29">
        <v>62.441339999999968</v>
      </c>
      <c r="G17" s="29">
        <v>-77.505920000000003</v>
      </c>
      <c r="H17" s="29">
        <v>41400.690750000002</v>
      </c>
      <c r="I17" s="295">
        <v>100</v>
      </c>
      <c r="J17" s="29">
        <v>34417.908000000003</v>
      </c>
      <c r="K17" s="29">
        <v>99.999999999999986</v>
      </c>
      <c r="L17" s="29">
        <v>83.133656411276192</v>
      </c>
      <c r="M17" s="29">
        <v>41338.249409999997</v>
      </c>
      <c r="N17" s="29">
        <v>99.036806243964008</v>
      </c>
      <c r="O17" s="29">
        <v>34495.413919999999</v>
      </c>
      <c r="P17" s="295">
        <v>100</v>
      </c>
      <c r="Q17" s="29">
        <v>83.446721649648111</v>
      </c>
      <c r="R17" s="29">
        <v>118.45029000000001</v>
      </c>
      <c r="S17" s="29">
        <v>-176.23406999999997</v>
      </c>
      <c r="T17" s="29">
        <v>90.355080000000001</v>
      </c>
      <c r="U17" s="29">
        <v>-187.30451999999997</v>
      </c>
      <c r="V17" s="29">
        <v>289.41568999999998</v>
      </c>
      <c r="W17" s="29">
        <v>-110.62364999999997</v>
      </c>
      <c r="X17" s="29">
        <v>162.25864999999999</v>
      </c>
      <c r="Y17" s="42">
        <v>-125.44379000000001</v>
      </c>
    </row>
    <row r="18" spans="1:25" ht="26.4" x14ac:dyDescent="0.25">
      <c r="A18" s="134" t="s">
        <v>416</v>
      </c>
      <c r="B18" s="29">
        <f>'[2]ГАО и ГБУ_все средства'!B16</f>
        <v>61372.06667</v>
      </c>
      <c r="C18" s="29">
        <f>'[2]ГБУ и ГАО_бюдж.'!B16</f>
        <v>37451.406329999998</v>
      </c>
      <c r="D18" s="29">
        <v>92816.939230000004</v>
      </c>
      <c r="E18" s="29">
        <v>78135.249489999987</v>
      </c>
      <c r="F18" s="29">
        <v>31444.872560000003</v>
      </c>
      <c r="G18" s="29">
        <v>40683.843159999989</v>
      </c>
      <c r="H18" s="29">
        <v>2203343.4697199999</v>
      </c>
      <c r="I18" s="29">
        <v>99.892102640158555</v>
      </c>
      <c r="J18" s="29">
        <v>1776427.25147</v>
      </c>
      <c r="K18" s="29">
        <v>99.999999999999986</v>
      </c>
      <c r="L18" s="29">
        <v>80.624163952783434</v>
      </c>
      <c r="M18" s="29">
        <v>2171898.5971599999</v>
      </c>
      <c r="N18" s="29">
        <v>95.808055254667423</v>
      </c>
      <c r="O18" s="29">
        <v>1735743.4083099999</v>
      </c>
      <c r="P18" s="29">
        <v>95.692366236627535</v>
      </c>
      <c r="Q18" s="29">
        <v>79.918252655979344</v>
      </c>
      <c r="R18" s="29">
        <v>9840.1919699999999</v>
      </c>
      <c r="S18" s="29">
        <v>-22081.68965</v>
      </c>
      <c r="T18" s="29">
        <v>6986.6820399999997</v>
      </c>
      <c r="U18" s="29">
        <v>-18388.674870000003</v>
      </c>
      <c r="V18" s="29">
        <v>357564.87266000005</v>
      </c>
      <c r="W18" s="29">
        <v>324909.42409000004</v>
      </c>
      <c r="X18" s="29">
        <v>3413.8751900000002</v>
      </c>
      <c r="Y18" s="42">
        <v>-16170.471079999998</v>
      </c>
    </row>
    <row r="19" spans="1:25" ht="39.6" x14ac:dyDescent="0.25">
      <c r="A19" s="134" t="s">
        <v>441</v>
      </c>
      <c r="B19" s="29">
        <f>'[2]ГАО и ГБУ_все средства'!B17</f>
        <v>9241.5612200000014</v>
      </c>
      <c r="C19" s="29">
        <f>'[2]ГБУ и ГАО_бюдж.'!B17</f>
        <v>9000</v>
      </c>
      <c r="D19" s="29">
        <v>241.4469</v>
      </c>
      <c r="E19" s="29">
        <v>0</v>
      </c>
      <c r="F19" s="29">
        <v>-9000.1143200000006</v>
      </c>
      <c r="G19" s="29">
        <v>-9000</v>
      </c>
      <c r="H19" s="29">
        <v>165758.36619</v>
      </c>
      <c r="I19" s="29">
        <v>94.719105683770749</v>
      </c>
      <c r="J19" s="29">
        <v>155048</v>
      </c>
      <c r="K19" s="29">
        <v>94.513800838778891</v>
      </c>
      <c r="L19" s="29">
        <v>93.53856674858676</v>
      </c>
      <c r="M19" s="29">
        <v>174758.48050999999</v>
      </c>
      <c r="N19" s="29">
        <v>99.862030285627299</v>
      </c>
      <c r="O19" s="29">
        <v>164048</v>
      </c>
      <c r="P19" s="295">
        <v>100</v>
      </c>
      <c r="Q19" s="29">
        <v>93.871267088874049</v>
      </c>
      <c r="R19" s="29">
        <v>1928.8470399999999</v>
      </c>
      <c r="S19" s="29">
        <v>141.40570999999974</v>
      </c>
      <c r="T19" s="29">
        <v>206.97714999999999</v>
      </c>
      <c r="U19" s="29">
        <v>-269.19693000000007</v>
      </c>
      <c r="V19" s="29">
        <v>590.59859000000006</v>
      </c>
      <c r="W19" s="29">
        <v>252.30079000000009</v>
      </c>
      <c r="X19" s="29">
        <v>0</v>
      </c>
      <c r="Y19" s="42">
        <v>-0.02</v>
      </c>
    </row>
    <row r="20" spans="1:25" ht="26.4" x14ac:dyDescent="0.25">
      <c r="A20" s="134" t="s">
        <v>417</v>
      </c>
      <c r="B20" s="29">
        <f>'[2]ГАО и ГБУ_все средства'!B18</f>
        <v>18229.738890000001</v>
      </c>
      <c r="C20" s="29">
        <f>'[2]ГБУ и ГАО_бюдж.'!B18</f>
        <v>301.84859999999998</v>
      </c>
      <c r="D20" s="29">
        <v>51880.356549999997</v>
      </c>
      <c r="E20" s="29">
        <v>25690.392050000002</v>
      </c>
      <c r="F20" s="29">
        <v>33650.617659999996</v>
      </c>
      <c r="G20" s="29">
        <v>25388.543450000001</v>
      </c>
      <c r="H20" s="29">
        <v>750302.80151999998</v>
      </c>
      <c r="I20" s="29">
        <v>99.811855092261112</v>
      </c>
      <c r="J20" s="29">
        <v>514709.97777</v>
      </c>
      <c r="K20" s="29">
        <v>100</v>
      </c>
      <c r="L20" s="29">
        <v>68.600300668913334</v>
      </c>
      <c r="M20" s="29">
        <v>716652.18385999999</v>
      </c>
      <c r="N20" s="29">
        <v>96.421560081682074</v>
      </c>
      <c r="O20" s="29">
        <v>489321.43432</v>
      </c>
      <c r="P20" s="29">
        <v>95.011688909927429</v>
      </c>
      <c r="Q20" s="29">
        <v>68.278789256517541</v>
      </c>
      <c r="R20" s="29">
        <v>26209.226810000004</v>
      </c>
      <c r="S20" s="29">
        <v>5665.4007400000019</v>
      </c>
      <c r="T20" s="29">
        <v>8933.2328699999998</v>
      </c>
      <c r="U20" s="29">
        <v>907.59487999999897</v>
      </c>
      <c r="V20" s="29">
        <v>21723.264829999996</v>
      </c>
      <c r="W20" s="29">
        <v>-6459.7490900000039</v>
      </c>
      <c r="X20" s="29">
        <v>5536.9370699999999</v>
      </c>
      <c r="Y20" s="42">
        <v>-346.39120999999903</v>
      </c>
    </row>
    <row r="21" spans="1:25" ht="26.4" x14ac:dyDescent="0.25">
      <c r="A21" s="134" t="s">
        <v>418</v>
      </c>
      <c r="B21" s="29">
        <f>'[2]ГАО и ГБУ_все средства'!B19</f>
        <v>23421.638600000002</v>
      </c>
      <c r="C21" s="29">
        <f>'[2]ГБУ и ГАО_бюдж.'!B19</f>
        <v>23047.22883</v>
      </c>
      <c r="D21" s="29">
        <v>29243.382430000001</v>
      </c>
      <c r="E21" s="29">
        <v>28604.058730000001</v>
      </c>
      <c r="F21" s="29">
        <v>5821.7438299999994</v>
      </c>
      <c r="G21" s="29">
        <v>5556.8299000000006</v>
      </c>
      <c r="H21" s="29">
        <v>433531.49157000001</v>
      </c>
      <c r="I21" s="29">
        <v>97.618220621658537</v>
      </c>
      <c r="J21" s="29">
        <v>432329.09412000002</v>
      </c>
      <c r="K21" s="29">
        <v>97.662381544214995</v>
      </c>
      <c r="L21" s="295">
        <v>99.722650494051635</v>
      </c>
      <c r="M21" s="29">
        <v>428010.64961999998</v>
      </c>
      <c r="N21" s="29">
        <v>91.547042660966255</v>
      </c>
      <c r="O21" s="29">
        <v>426969.31201999995</v>
      </c>
      <c r="P21" s="29">
        <v>91.678530784010917</v>
      </c>
      <c r="Q21" s="295">
        <v>99.756702876219421</v>
      </c>
      <c r="R21" s="29">
        <v>974.37386000000004</v>
      </c>
      <c r="S21" s="29">
        <v>-4364.3397999999997</v>
      </c>
      <c r="T21" s="29">
        <v>765.11573999999996</v>
      </c>
      <c r="U21" s="29">
        <v>-4364.2269299999998</v>
      </c>
      <c r="V21" s="29">
        <v>23633.73473</v>
      </c>
      <c r="W21" s="29">
        <v>-9170.6626499999984</v>
      </c>
      <c r="X21" s="29">
        <v>23566.178070000002</v>
      </c>
      <c r="Y21" s="42">
        <v>-9155.7046299999984</v>
      </c>
    </row>
    <row r="22" spans="1:25" ht="39.6" x14ac:dyDescent="0.25">
      <c r="A22" s="134" t="s">
        <v>419</v>
      </c>
      <c r="B22" s="29">
        <f>'[2]ГАО и ГБУ_все средства'!B20</f>
        <v>0</v>
      </c>
      <c r="C22" s="29">
        <f>'[2]ГБУ и ГАО_бюдж.'!B20</f>
        <v>0</v>
      </c>
      <c r="D22" s="29">
        <v>0.20602999999999999</v>
      </c>
      <c r="E22" s="29">
        <v>0.20602999999999999</v>
      </c>
      <c r="F22" s="29">
        <v>0.20602999999999999</v>
      </c>
      <c r="G22" s="29">
        <v>0.20602999999999999</v>
      </c>
      <c r="H22" s="29">
        <v>14741.98005</v>
      </c>
      <c r="I22" s="295">
        <v>100</v>
      </c>
      <c r="J22" s="29">
        <v>13233.42</v>
      </c>
      <c r="K22" s="29">
        <v>100</v>
      </c>
      <c r="L22" s="29">
        <v>89.766910246225706</v>
      </c>
      <c r="M22" s="29">
        <v>14741.774019999999</v>
      </c>
      <c r="N22" s="295">
        <v>99.998602426544451</v>
      </c>
      <c r="O22" s="29">
        <v>13233.213970000001</v>
      </c>
      <c r="P22" s="295">
        <v>99.998443108433037</v>
      </c>
      <c r="Q22" s="29">
        <v>89.766767229280873</v>
      </c>
      <c r="R22" s="29">
        <v>140.626</v>
      </c>
      <c r="S22" s="29">
        <v>79.965410000000006</v>
      </c>
      <c r="T22" s="29">
        <v>90.675600000000003</v>
      </c>
      <c r="U22" s="29">
        <v>32.074510000000011</v>
      </c>
      <c r="V22" s="29">
        <v>592.87417000000005</v>
      </c>
      <c r="W22" s="29">
        <v>153.40159000000008</v>
      </c>
      <c r="X22" s="29">
        <v>517.82168999999999</v>
      </c>
      <c r="Y22" s="42">
        <v>78.283400000000029</v>
      </c>
    </row>
    <row r="23" spans="1:25" ht="26.4" x14ac:dyDescent="0.25">
      <c r="A23" s="134" t="s">
        <v>442</v>
      </c>
      <c r="B23" s="29">
        <f>'[2]ГАО и ГБУ_все средства'!B21</f>
        <v>14819.741830000001</v>
      </c>
      <c r="C23" s="29">
        <f>'[2]ГБУ и ГАО_бюдж.'!B21</f>
        <v>13536.75359</v>
      </c>
      <c r="D23" s="29">
        <v>0</v>
      </c>
      <c r="E23" s="29">
        <v>0</v>
      </c>
      <c r="F23" s="29">
        <v>-14819.741830000001</v>
      </c>
      <c r="G23" s="29">
        <v>-13536.75359</v>
      </c>
      <c r="H23" s="29">
        <v>9716.9354299999995</v>
      </c>
      <c r="I23" s="295">
        <v>33.288553473702919</v>
      </c>
      <c r="J23" s="29">
        <v>9592.8153899999998</v>
      </c>
      <c r="K23" s="295">
        <v>33.003675750621866</v>
      </c>
      <c r="L23" s="295">
        <v>98.722642124215497</v>
      </c>
      <c r="M23" s="29">
        <v>24536.67726</v>
      </c>
      <c r="N23" s="295">
        <v>55.752806235304455</v>
      </c>
      <c r="O23" s="29">
        <v>23139.602320000002</v>
      </c>
      <c r="P23" s="295">
        <v>54.314931982151215</v>
      </c>
      <c r="Q23" s="295">
        <v>94.306177135575211</v>
      </c>
      <c r="R23" s="29">
        <v>3248.9007099999999</v>
      </c>
      <c r="S23" s="29">
        <v>2240.6068500000001</v>
      </c>
      <c r="T23" s="29">
        <v>113.01533999999999</v>
      </c>
      <c r="U23" s="29">
        <v>-688.86851999999999</v>
      </c>
      <c r="V23" s="29">
        <v>61.904050000000005</v>
      </c>
      <c r="W23" s="29">
        <v>-338.16274000000004</v>
      </c>
      <c r="X23" s="29">
        <v>11.741190000000001</v>
      </c>
      <c r="Y23" s="42">
        <v>11.127800000000001</v>
      </c>
    </row>
    <row r="24" spans="1:25" ht="26.4" x14ac:dyDescent="0.25">
      <c r="A24" s="134" t="s">
        <v>420</v>
      </c>
      <c r="B24" s="29">
        <f>'[2]ГАО и ГБУ_все средства'!B22</f>
        <v>13001.954619999999</v>
      </c>
      <c r="C24" s="29">
        <f>'[2]ГБУ и ГАО_бюдж.'!B22</f>
        <v>0</v>
      </c>
      <c r="D24" s="29">
        <v>13453.466539999999</v>
      </c>
      <c r="E24" s="29">
        <v>1104.0846799999999</v>
      </c>
      <c r="F24" s="29">
        <v>451.51192000000083</v>
      </c>
      <c r="G24" s="29">
        <v>1104.0846799999999</v>
      </c>
      <c r="H24" s="29">
        <v>164876.29882</v>
      </c>
      <c r="I24" s="29">
        <v>97.031914841589909</v>
      </c>
      <c r="J24" s="29">
        <v>42473.258999999998</v>
      </c>
      <c r="K24" s="29">
        <v>100</v>
      </c>
      <c r="L24" s="295">
        <v>25.760681980354999</v>
      </c>
      <c r="M24" s="29">
        <v>164419.56090000001</v>
      </c>
      <c r="N24" s="29">
        <v>96.763118445288299</v>
      </c>
      <c r="O24" s="29">
        <v>41369.174319999998</v>
      </c>
      <c r="P24" s="29">
        <v>97.40051810010624</v>
      </c>
      <c r="Q24" s="295">
        <v>25.160737623646089</v>
      </c>
      <c r="R24" s="29">
        <v>5707.9579299999996</v>
      </c>
      <c r="S24" s="29">
        <v>961.56894999999929</v>
      </c>
      <c r="T24" s="29">
        <v>0</v>
      </c>
      <c r="U24" s="29">
        <v>0</v>
      </c>
      <c r="V24" s="29">
        <v>22156.577839999998</v>
      </c>
      <c r="W24" s="29">
        <v>1357.2429299999997</v>
      </c>
      <c r="X24" s="29">
        <v>0</v>
      </c>
      <c r="Y24" s="42">
        <v>0</v>
      </c>
    </row>
    <row r="25" spans="1:25" x14ac:dyDescent="0.25">
      <c r="A25" s="134" t="s">
        <v>421</v>
      </c>
      <c r="B25" s="29">
        <f>'[2]ГАО и ГБУ_все средства'!B23</f>
        <v>0</v>
      </c>
      <c r="C25" s="29">
        <f>'[2]ГБУ и ГАО_бюдж.'!B23</f>
        <v>0</v>
      </c>
      <c r="D25" s="29">
        <v>0</v>
      </c>
      <c r="E25" s="29">
        <v>0</v>
      </c>
      <c r="F25" s="29">
        <v>0</v>
      </c>
      <c r="G25" s="29">
        <v>0</v>
      </c>
      <c r="H25" s="29">
        <v>10414.205</v>
      </c>
      <c r="I25" s="295">
        <v>100</v>
      </c>
      <c r="J25" s="29">
        <v>10098.362999999999</v>
      </c>
      <c r="K25" s="29">
        <v>100</v>
      </c>
      <c r="L25" s="295">
        <v>96.967200088724965</v>
      </c>
      <c r="M25" s="29">
        <v>10414.205</v>
      </c>
      <c r="N25" s="295">
        <v>100</v>
      </c>
      <c r="O25" s="29">
        <v>10098.362999999999</v>
      </c>
      <c r="P25" s="295">
        <v>100</v>
      </c>
      <c r="Q25" s="295">
        <v>96.967200088724965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42">
        <v>0</v>
      </c>
    </row>
    <row r="26" spans="1:25" ht="26.4" x14ac:dyDescent="0.25">
      <c r="A26" s="134" t="s">
        <v>505</v>
      </c>
      <c r="B26" s="29">
        <f>'[2]ГАО и ГБУ_все средства'!B24</f>
        <v>5056.4532900000004</v>
      </c>
      <c r="C26" s="29">
        <f>'[2]ГБУ и ГАО_бюдж.'!B24</f>
        <v>2572.23308</v>
      </c>
      <c r="D26" s="29">
        <v>3735.2975499999998</v>
      </c>
      <c r="E26" s="29">
        <v>0</v>
      </c>
      <c r="F26" s="29">
        <v>-1321.1557400000006</v>
      </c>
      <c r="G26" s="29">
        <v>-2572.23308</v>
      </c>
      <c r="H26" s="29">
        <v>228492.66438999999</v>
      </c>
      <c r="I26" s="29">
        <v>99.61746228365611</v>
      </c>
      <c r="J26" s="29">
        <v>157066.4</v>
      </c>
      <c r="K26" s="29">
        <v>100</v>
      </c>
      <c r="L26" s="29">
        <v>68.740237424827384</v>
      </c>
      <c r="M26" s="29">
        <v>229813.82013000001</v>
      </c>
      <c r="N26" s="29">
        <v>98.930927430317666</v>
      </c>
      <c r="O26" s="29">
        <v>159638.63308</v>
      </c>
      <c r="P26" s="295">
        <v>100</v>
      </c>
      <c r="Q26" s="29">
        <v>69.464331165852585</v>
      </c>
      <c r="R26" s="29">
        <v>6781.9950099999996</v>
      </c>
      <c r="S26" s="29">
        <v>1940.9371499999995</v>
      </c>
      <c r="T26" s="29">
        <v>1291.6952900000001</v>
      </c>
      <c r="U26" s="29">
        <v>870.88358000000005</v>
      </c>
      <c r="V26" s="29">
        <v>1932.9502500000001</v>
      </c>
      <c r="W26" s="29">
        <v>2039.4165699999999</v>
      </c>
      <c r="X26" s="29">
        <v>338.41921000000002</v>
      </c>
      <c r="Y26" s="42">
        <v>1014.5340500000001</v>
      </c>
    </row>
    <row r="27" spans="1:25" s="314" customFormat="1" ht="13.8" thickBot="1" x14ac:dyDescent="0.3">
      <c r="A27" s="303" t="s">
        <v>422</v>
      </c>
      <c r="B27" s="304">
        <f>SUM(B8:B26)</f>
        <v>2166232.1707100007</v>
      </c>
      <c r="C27" s="304">
        <f t="shared" ref="C27" si="0">SUM(C8:C26)</f>
        <v>803303.97178000014</v>
      </c>
      <c r="D27" s="304">
        <v>2485308.1274000001</v>
      </c>
      <c r="E27" s="304">
        <v>735270.53522000008</v>
      </c>
      <c r="F27" s="304">
        <v>319075.95669000008</v>
      </c>
      <c r="G27" s="304">
        <v>-68033.436560000031</v>
      </c>
      <c r="H27" s="304">
        <v>30932646.598820001</v>
      </c>
      <c r="I27" s="304">
        <v>97.66220545123231</v>
      </c>
      <c r="J27" s="304">
        <v>12323301.77108</v>
      </c>
      <c r="K27" s="304">
        <v>97.380573118937363</v>
      </c>
      <c r="L27" s="304">
        <v>39.839144483518275</v>
      </c>
      <c r="M27" s="304">
        <v>30622051.9857</v>
      </c>
      <c r="N27" s="304">
        <v>91.840724759193407</v>
      </c>
      <c r="O27" s="304">
        <v>12396623.781739999</v>
      </c>
      <c r="P27" s="304">
        <v>92.393826265655136</v>
      </c>
      <c r="Q27" s="304">
        <v>40.482668462351974</v>
      </c>
      <c r="R27" s="304">
        <v>1352645.4922599993</v>
      </c>
      <c r="S27" s="304">
        <v>78512.147710000019</v>
      </c>
      <c r="T27" s="304">
        <v>504866.60816999996</v>
      </c>
      <c r="U27" s="304">
        <v>-99788.324759999945</v>
      </c>
      <c r="V27" s="304">
        <v>2442265.6115600001</v>
      </c>
      <c r="W27" s="304">
        <v>1163035.5173599995</v>
      </c>
      <c r="X27" s="304">
        <v>459908.72802000004</v>
      </c>
      <c r="Y27" s="308">
        <v>270581.3911200001</v>
      </c>
    </row>
    <row r="28" spans="1:25" ht="13.5" hidden="1" thickTop="1" x14ac:dyDescent="0.2">
      <c r="B28" s="206">
        <f>B27/1000</f>
        <v>2166.2321707100009</v>
      </c>
      <c r="C28" s="206">
        <f t="shared" ref="C28:Q28" si="1">C27/1000</f>
        <v>803.3039717800001</v>
      </c>
      <c r="D28" s="206">
        <f t="shared" si="1"/>
        <v>2485.3081274000001</v>
      </c>
      <c r="E28" s="206">
        <f t="shared" si="1"/>
        <v>735.27053522000006</v>
      </c>
      <c r="F28" s="206">
        <f t="shared" si="1"/>
        <v>319.07595669000006</v>
      </c>
      <c r="G28" s="206">
        <f t="shared" si="1"/>
        <v>-68.033436560000027</v>
      </c>
      <c r="H28" s="206">
        <f t="shared" si="1"/>
        <v>30932.64659882</v>
      </c>
      <c r="J28" s="206">
        <f t="shared" si="1"/>
        <v>12323.30177108</v>
      </c>
      <c r="M28" s="206">
        <f t="shared" si="1"/>
        <v>30622.0519857</v>
      </c>
      <c r="O28" s="206">
        <f t="shared" si="1"/>
        <v>12396.623781739998</v>
      </c>
      <c r="Q28" s="206">
        <f t="shared" si="1"/>
        <v>4.0482668462351976E-2</v>
      </c>
    </row>
    <row r="29" spans="1:25" ht="12.75" hidden="1" x14ac:dyDescent="0.2">
      <c r="G29" s="206">
        <f>G11/1000</f>
        <v>206.84522162000005</v>
      </c>
    </row>
    <row r="30" spans="1:25" ht="12.75" hidden="1" x14ac:dyDescent="0.2">
      <c r="V30" s="206">
        <f>(V27-R27)/1000</f>
        <v>1089.6201193000009</v>
      </c>
    </row>
    <row r="31" spans="1:25" ht="12.75" hidden="1" x14ac:dyDescent="0.2"/>
    <row r="32" spans="1:25" ht="12.75" hidden="1" x14ac:dyDescent="0.2">
      <c r="J32" s="206">
        <f>J23/1000</f>
        <v>9.5928153900000002</v>
      </c>
    </row>
    <row r="33" spans="1:21" ht="12.75" hidden="1" x14ac:dyDescent="0.2"/>
    <row r="34" spans="1:21" ht="12.75" hidden="1" x14ac:dyDescent="0.2">
      <c r="A34" s="206"/>
      <c r="T34" s="206">
        <f>T8/1000</f>
        <v>325.74930949000003</v>
      </c>
      <c r="U34" s="206">
        <f>U8/1000</f>
        <v>-171.34734723999995</v>
      </c>
    </row>
    <row r="35" spans="1:21" ht="13.8" thickTop="1" x14ac:dyDescent="0.25"/>
  </sheetData>
  <sheetProtection sheet="1" objects="1" scenarios="1"/>
  <mergeCells count="11">
    <mergeCell ref="A2:Y2"/>
    <mergeCell ref="A4:A6"/>
    <mergeCell ref="B4:G4"/>
    <mergeCell ref="H4:L5"/>
    <mergeCell ref="M4:Q5"/>
    <mergeCell ref="R4:Y4"/>
    <mergeCell ref="B5:C5"/>
    <mergeCell ref="D5:E5"/>
    <mergeCell ref="F5:G5"/>
    <mergeCell ref="R5:U5"/>
    <mergeCell ref="V5:Y5"/>
  </mergeCells>
  <pageMargins left="0.19685039370078741" right="0.19685039370078741" top="0.98425196850393704" bottom="0.59055118110236227" header="0.31496062992125984" footer="0.31496062992125984"/>
  <pageSetup paperSize="9" scale="63" fitToHeight="0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Normal="100" workbookViewId="0">
      <pane xSplit="7" ySplit="8" topLeftCell="H9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ColWidth="8.19921875" defaultRowHeight="13.2" x14ac:dyDescent="0.25"/>
  <cols>
    <col min="1" max="1" width="5.69921875" style="324" bestFit="1" customWidth="1"/>
    <col min="2" max="2" width="34.69921875" style="324" customWidth="1"/>
    <col min="3" max="4" width="11.19921875" style="324" hidden="1" customWidth="1"/>
    <col min="5" max="6" width="10.69921875" style="324" hidden="1" customWidth="1"/>
    <col min="7" max="7" width="15" style="324" hidden="1" customWidth="1"/>
    <col min="8" max="8" width="11.3984375" style="324" customWidth="1"/>
    <col min="9" max="9" width="10.3984375" style="324" hidden="1" customWidth="1"/>
    <col min="10" max="10" width="10.19921875" style="324" customWidth="1"/>
    <col min="11" max="11" width="11.69921875" style="324" customWidth="1"/>
    <col min="12" max="12" width="14.69921875" style="324" customWidth="1"/>
    <col min="13" max="13" width="13.19921875" style="324" customWidth="1"/>
    <col min="14" max="14" width="10.3984375" style="324" customWidth="1"/>
    <col min="15" max="15" width="10.8984375" style="324" customWidth="1"/>
    <col min="16" max="16" width="11.59765625" style="324" customWidth="1"/>
    <col min="17" max="17" width="13.5" style="345" customWidth="1"/>
    <col min="18" max="256" width="8.19921875" style="324"/>
    <col min="257" max="257" width="5.69921875" style="324" bestFit="1" customWidth="1"/>
    <col min="258" max="258" width="34.69921875" style="324" customWidth="1"/>
    <col min="259" max="259" width="11.19921875" style="324" customWidth="1"/>
    <col min="260" max="260" width="0" style="324" hidden="1" customWidth="1"/>
    <col min="261" max="262" width="10.69921875" style="324" customWidth="1"/>
    <col min="263" max="263" width="15" style="324" customWidth="1"/>
    <col min="264" max="264" width="11.3984375" style="324" customWidth="1"/>
    <col min="265" max="265" width="0" style="324" hidden="1" customWidth="1"/>
    <col min="266" max="266" width="10.19921875" style="324" customWidth="1"/>
    <col min="267" max="267" width="11.69921875" style="324" customWidth="1"/>
    <col min="268" max="268" width="15.69921875" style="324" customWidth="1"/>
    <col min="269" max="269" width="13.19921875" style="324" customWidth="1"/>
    <col min="270" max="270" width="10.3984375" style="324" customWidth="1"/>
    <col min="271" max="271" width="10.8984375" style="324" customWidth="1"/>
    <col min="272" max="272" width="11.59765625" style="324" customWidth="1"/>
    <col min="273" max="273" width="13.69921875" style="324" customWidth="1"/>
    <col min="274" max="512" width="8.19921875" style="324"/>
    <col min="513" max="513" width="5.69921875" style="324" bestFit="1" customWidth="1"/>
    <col min="514" max="514" width="34.69921875" style="324" customWidth="1"/>
    <col min="515" max="515" width="11.19921875" style="324" customWidth="1"/>
    <col min="516" max="516" width="0" style="324" hidden="1" customWidth="1"/>
    <col min="517" max="518" width="10.69921875" style="324" customWidth="1"/>
    <col min="519" max="519" width="15" style="324" customWidth="1"/>
    <col min="520" max="520" width="11.3984375" style="324" customWidth="1"/>
    <col min="521" max="521" width="0" style="324" hidden="1" customWidth="1"/>
    <col min="522" max="522" width="10.19921875" style="324" customWidth="1"/>
    <col min="523" max="523" width="11.69921875" style="324" customWidth="1"/>
    <col min="524" max="524" width="15.69921875" style="324" customWidth="1"/>
    <col min="525" max="525" width="13.19921875" style="324" customWidth="1"/>
    <col min="526" max="526" width="10.3984375" style="324" customWidth="1"/>
    <col min="527" max="527" width="10.8984375" style="324" customWidth="1"/>
    <col min="528" max="528" width="11.59765625" style="324" customWidth="1"/>
    <col min="529" max="529" width="13.69921875" style="324" customWidth="1"/>
    <col min="530" max="768" width="8.19921875" style="324"/>
    <col min="769" max="769" width="5.69921875" style="324" bestFit="1" customWidth="1"/>
    <col min="770" max="770" width="34.69921875" style="324" customWidth="1"/>
    <col min="771" max="771" width="11.19921875" style="324" customWidth="1"/>
    <col min="772" max="772" width="0" style="324" hidden="1" customWidth="1"/>
    <col min="773" max="774" width="10.69921875" style="324" customWidth="1"/>
    <col min="775" max="775" width="15" style="324" customWidth="1"/>
    <col min="776" max="776" width="11.3984375" style="324" customWidth="1"/>
    <col min="777" max="777" width="0" style="324" hidden="1" customWidth="1"/>
    <col min="778" max="778" width="10.19921875" style="324" customWidth="1"/>
    <col min="779" max="779" width="11.69921875" style="324" customWidth="1"/>
    <col min="780" max="780" width="15.69921875" style="324" customWidth="1"/>
    <col min="781" max="781" width="13.19921875" style="324" customWidth="1"/>
    <col min="782" max="782" width="10.3984375" style="324" customWidth="1"/>
    <col min="783" max="783" width="10.8984375" style="324" customWidth="1"/>
    <col min="784" max="784" width="11.59765625" style="324" customWidth="1"/>
    <col min="785" max="785" width="13.69921875" style="324" customWidth="1"/>
    <col min="786" max="1024" width="8.19921875" style="324"/>
    <col min="1025" max="1025" width="5.69921875" style="324" bestFit="1" customWidth="1"/>
    <col min="1026" max="1026" width="34.69921875" style="324" customWidth="1"/>
    <col min="1027" max="1027" width="11.19921875" style="324" customWidth="1"/>
    <col min="1028" max="1028" width="0" style="324" hidden="1" customWidth="1"/>
    <col min="1029" max="1030" width="10.69921875" style="324" customWidth="1"/>
    <col min="1031" max="1031" width="15" style="324" customWidth="1"/>
    <col min="1032" max="1032" width="11.3984375" style="324" customWidth="1"/>
    <col min="1033" max="1033" width="0" style="324" hidden="1" customWidth="1"/>
    <col min="1034" max="1034" width="10.19921875" style="324" customWidth="1"/>
    <col min="1035" max="1035" width="11.69921875" style="324" customWidth="1"/>
    <col min="1036" max="1036" width="15.69921875" style="324" customWidth="1"/>
    <col min="1037" max="1037" width="13.19921875" style="324" customWidth="1"/>
    <col min="1038" max="1038" width="10.3984375" style="324" customWidth="1"/>
    <col min="1039" max="1039" width="10.8984375" style="324" customWidth="1"/>
    <col min="1040" max="1040" width="11.59765625" style="324" customWidth="1"/>
    <col min="1041" max="1041" width="13.69921875" style="324" customWidth="1"/>
    <col min="1042" max="1280" width="8.19921875" style="324"/>
    <col min="1281" max="1281" width="5.69921875" style="324" bestFit="1" customWidth="1"/>
    <col min="1282" max="1282" width="34.69921875" style="324" customWidth="1"/>
    <col min="1283" max="1283" width="11.19921875" style="324" customWidth="1"/>
    <col min="1284" max="1284" width="0" style="324" hidden="1" customWidth="1"/>
    <col min="1285" max="1286" width="10.69921875" style="324" customWidth="1"/>
    <col min="1287" max="1287" width="15" style="324" customWidth="1"/>
    <col min="1288" max="1288" width="11.3984375" style="324" customWidth="1"/>
    <col min="1289" max="1289" width="0" style="324" hidden="1" customWidth="1"/>
    <col min="1290" max="1290" width="10.19921875" style="324" customWidth="1"/>
    <col min="1291" max="1291" width="11.69921875" style="324" customWidth="1"/>
    <col min="1292" max="1292" width="15.69921875" style="324" customWidth="1"/>
    <col min="1293" max="1293" width="13.19921875" style="324" customWidth="1"/>
    <col min="1294" max="1294" width="10.3984375" style="324" customWidth="1"/>
    <col min="1295" max="1295" width="10.8984375" style="324" customWidth="1"/>
    <col min="1296" max="1296" width="11.59765625" style="324" customWidth="1"/>
    <col min="1297" max="1297" width="13.69921875" style="324" customWidth="1"/>
    <col min="1298" max="1536" width="8.19921875" style="324"/>
    <col min="1537" max="1537" width="5.69921875" style="324" bestFit="1" customWidth="1"/>
    <col min="1538" max="1538" width="34.69921875" style="324" customWidth="1"/>
    <col min="1539" max="1539" width="11.19921875" style="324" customWidth="1"/>
    <col min="1540" max="1540" width="0" style="324" hidden="1" customWidth="1"/>
    <col min="1541" max="1542" width="10.69921875" style="324" customWidth="1"/>
    <col min="1543" max="1543" width="15" style="324" customWidth="1"/>
    <col min="1544" max="1544" width="11.3984375" style="324" customWidth="1"/>
    <col min="1545" max="1545" width="0" style="324" hidden="1" customWidth="1"/>
    <col min="1546" max="1546" width="10.19921875" style="324" customWidth="1"/>
    <col min="1547" max="1547" width="11.69921875" style="324" customWidth="1"/>
    <col min="1548" max="1548" width="15.69921875" style="324" customWidth="1"/>
    <col min="1549" max="1549" width="13.19921875" style="324" customWidth="1"/>
    <col min="1550" max="1550" width="10.3984375" style="324" customWidth="1"/>
    <col min="1551" max="1551" width="10.8984375" style="324" customWidth="1"/>
    <col min="1552" max="1552" width="11.59765625" style="324" customWidth="1"/>
    <col min="1553" max="1553" width="13.69921875" style="324" customWidth="1"/>
    <col min="1554" max="1792" width="8.19921875" style="324"/>
    <col min="1793" max="1793" width="5.69921875" style="324" bestFit="1" customWidth="1"/>
    <col min="1794" max="1794" width="34.69921875" style="324" customWidth="1"/>
    <col min="1795" max="1795" width="11.19921875" style="324" customWidth="1"/>
    <col min="1796" max="1796" width="0" style="324" hidden="1" customWidth="1"/>
    <col min="1797" max="1798" width="10.69921875" style="324" customWidth="1"/>
    <col min="1799" max="1799" width="15" style="324" customWidth="1"/>
    <col min="1800" max="1800" width="11.3984375" style="324" customWidth="1"/>
    <col min="1801" max="1801" width="0" style="324" hidden="1" customWidth="1"/>
    <col min="1802" max="1802" width="10.19921875" style="324" customWidth="1"/>
    <col min="1803" max="1803" width="11.69921875" style="324" customWidth="1"/>
    <col min="1804" max="1804" width="15.69921875" style="324" customWidth="1"/>
    <col min="1805" max="1805" width="13.19921875" style="324" customWidth="1"/>
    <col min="1806" max="1806" width="10.3984375" style="324" customWidth="1"/>
    <col min="1807" max="1807" width="10.8984375" style="324" customWidth="1"/>
    <col min="1808" max="1808" width="11.59765625" style="324" customWidth="1"/>
    <col min="1809" max="1809" width="13.69921875" style="324" customWidth="1"/>
    <col min="1810" max="2048" width="8.19921875" style="324"/>
    <col min="2049" max="2049" width="5.69921875" style="324" bestFit="1" customWidth="1"/>
    <col min="2050" max="2050" width="34.69921875" style="324" customWidth="1"/>
    <col min="2051" max="2051" width="11.19921875" style="324" customWidth="1"/>
    <col min="2052" max="2052" width="0" style="324" hidden="1" customWidth="1"/>
    <col min="2053" max="2054" width="10.69921875" style="324" customWidth="1"/>
    <col min="2055" max="2055" width="15" style="324" customWidth="1"/>
    <col min="2056" max="2056" width="11.3984375" style="324" customWidth="1"/>
    <col min="2057" max="2057" width="0" style="324" hidden="1" customWidth="1"/>
    <col min="2058" max="2058" width="10.19921875" style="324" customWidth="1"/>
    <col min="2059" max="2059" width="11.69921875" style="324" customWidth="1"/>
    <col min="2060" max="2060" width="15.69921875" style="324" customWidth="1"/>
    <col min="2061" max="2061" width="13.19921875" style="324" customWidth="1"/>
    <col min="2062" max="2062" width="10.3984375" style="324" customWidth="1"/>
    <col min="2063" max="2063" width="10.8984375" style="324" customWidth="1"/>
    <col min="2064" max="2064" width="11.59765625" style="324" customWidth="1"/>
    <col min="2065" max="2065" width="13.69921875" style="324" customWidth="1"/>
    <col min="2066" max="2304" width="8.19921875" style="324"/>
    <col min="2305" max="2305" width="5.69921875" style="324" bestFit="1" customWidth="1"/>
    <col min="2306" max="2306" width="34.69921875" style="324" customWidth="1"/>
    <col min="2307" max="2307" width="11.19921875" style="324" customWidth="1"/>
    <col min="2308" max="2308" width="0" style="324" hidden="1" customWidth="1"/>
    <col min="2309" max="2310" width="10.69921875" style="324" customWidth="1"/>
    <col min="2311" max="2311" width="15" style="324" customWidth="1"/>
    <col min="2312" max="2312" width="11.3984375" style="324" customWidth="1"/>
    <col min="2313" max="2313" width="0" style="324" hidden="1" customWidth="1"/>
    <col min="2314" max="2314" width="10.19921875" style="324" customWidth="1"/>
    <col min="2315" max="2315" width="11.69921875" style="324" customWidth="1"/>
    <col min="2316" max="2316" width="15.69921875" style="324" customWidth="1"/>
    <col min="2317" max="2317" width="13.19921875" style="324" customWidth="1"/>
    <col min="2318" max="2318" width="10.3984375" style="324" customWidth="1"/>
    <col min="2319" max="2319" width="10.8984375" style="324" customWidth="1"/>
    <col min="2320" max="2320" width="11.59765625" style="324" customWidth="1"/>
    <col min="2321" max="2321" width="13.69921875" style="324" customWidth="1"/>
    <col min="2322" max="2560" width="8.19921875" style="324"/>
    <col min="2561" max="2561" width="5.69921875" style="324" bestFit="1" customWidth="1"/>
    <col min="2562" max="2562" width="34.69921875" style="324" customWidth="1"/>
    <col min="2563" max="2563" width="11.19921875" style="324" customWidth="1"/>
    <col min="2564" max="2564" width="0" style="324" hidden="1" customWidth="1"/>
    <col min="2565" max="2566" width="10.69921875" style="324" customWidth="1"/>
    <col min="2567" max="2567" width="15" style="324" customWidth="1"/>
    <col min="2568" max="2568" width="11.3984375" style="324" customWidth="1"/>
    <col min="2569" max="2569" width="0" style="324" hidden="1" customWidth="1"/>
    <col min="2570" max="2570" width="10.19921875" style="324" customWidth="1"/>
    <col min="2571" max="2571" width="11.69921875" style="324" customWidth="1"/>
    <col min="2572" max="2572" width="15.69921875" style="324" customWidth="1"/>
    <col min="2573" max="2573" width="13.19921875" style="324" customWidth="1"/>
    <col min="2574" max="2574" width="10.3984375" style="324" customWidth="1"/>
    <col min="2575" max="2575" width="10.8984375" style="324" customWidth="1"/>
    <col min="2576" max="2576" width="11.59765625" style="324" customWidth="1"/>
    <col min="2577" max="2577" width="13.69921875" style="324" customWidth="1"/>
    <col min="2578" max="2816" width="8.19921875" style="324"/>
    <col min="2817" max="2817" width="5.69921875" style="324" bestFit="1" customWidth="1"/>
    <col min="2818" max="2818" width="34.69921875" style="324" customWidth="1"/>
    <col min="2819" max="2819" width="11.19921875" style="324" customWidth="1"/>
    <col min="2820" max="2820" width="0" style="324" hidden="1" customWidth="1"/>
    <col min="2821" max="2822" width="10.69921875" style="324" customWidth="1"/>
    <col min="2823" max="2823" width="15" style="324" customWidth="1"/>
    <col min="2824" max="2824" width="11.3984375" style="324" customWidth="1"/>
    <col min="2825" max="2825" width="0" style="324" hidden="1" customWidth="1"/>
    <col min="2826" max="2826" width="10.19921875" style="324" customWidth="1"/>
    <col min="2827" max="2827" width="11.69921875" style="324" customWidth="1"/>
    <col min="2828" max="2828" width="15.69921875" style="324" customWidth="1"/>
    <col min="2829" max="2829" width="13.19921875" style="324" customWidth="1"/>
    <col min="2830" max="2830" width="10.3984375" style="324" customWidth="1"/>
    <col min="2831" max="2831" width="10.8984375" style="324" customWidth="1"/>
    <col min="2832" max="2832" width="11.59765625" style="324" customWidth="1"/>
    <col min="2833" max="2833" width="13.69921875" style="324" customWidth="1"/>
    <col min="2834" max="3072" width="8.19921875" style="324"/>
    <col min="3073" max="3073" width="5.69921875" style="324" bestFit="1" customWidth="1"/>
    <col min="3074" max="3074" width="34.69921875" style="324" customWidth="1"/>
    <col min="3075" max="3075" width="11.19921875" style="324" customWidth="1"/>
    <col min="3076" max="3076" width="0" style="324" hidden="1" customWidth="1"/>
    <col min="3077" max="3078" width="10.69921875" style="324" customWidth="1"/>
    <col min="3079" max="3079" width="15" style="324" customWidth="1"/>
    <col min="3080" max="3080" width="11.3984375" style="324" customWidth="1"/>
    <col min="3081" max="3081" width="0" style="324" hidden="1" customWidth="1"/>
    <col min="3082" max="3082" width="10.19921875" style="324" customWidth="1"/>
    <col min="3083" max="3083" width="11.69921875" style="324" customWidth="1"/>
    <col min="3084" max="3084" width="15.69921875" style="324" customWidth="1"/>
    <col min="3085" max="3085" width="13.19921875" style="324" customWidth="1"/>
    <col min="3086" max="3086" width="10.3984375" style="324" customWidth="1"/>
    <col min="3087" max="3087" width="10.8984375" style="324" customWidth="1"/>
    <col min="3088" max="3088" width="11.59765625" style="324" customWidth="1"/>
    <col min="3089" max="3089" width="13.69921875" style="324" customWidth="1"/>
    <col min="3090" max="3328" width="8.19921875" style="324"/>
    <col min="3329" max="3329" width="5.69921875" style="324" bestFit="1" customWidth="1"/>
    <col min="3330" max="3330" width="34.69921875" style="324" customWidth="1"/>
    <col min="3331" max="3331" width="11.19921875" style="324" customWidth="1"/>
    <col min="3332" max="3332" width="0" style="324" hidden="1" customWidth="1"/>
    <col min="3333" max="3334" width="10.69921875" style="324" customWidth="1"/>
    <col min="3335" max="3335" width="15" style="324" customWidth="1"/>
    <col min="3336" max="3336" width="11.3984375" style="324" customWidth="1"/>
    <col min="3337" max="3337" width="0" style="324" hidden="1" customWidth="1"/>
    <col min="3338" max="3338" width="10.19921875" style="324" customWidth="1"/>
    <col min="3339" max="3339" width="11.69921875" style="324" customWidth="1"/>
    <col min="3340" max="3340" width="15.69921875" style="324" customWidth="1"/>
    <col min="3341" max="3341" width="13.19921875" style="324" customWidth="1"/>
    <col min="3342" max="3342" width="10.3984375" style="324" customWidth="1"/>
    <col min="3343" max="3343" width="10.8984375" style="324" customWidth="1"/>
    <col min="3344" max="3344" width="11.59765625" style="324" customWidth="1"/>
    <col min="3345" max="3345" width="13.69921875" style="324" customWidth="1"/>
    <col min="3346" max="3584" width="8.19921875" style="324"/>
    <col min="3585" max="3585" width="5.69921875" style="324" bestFit="1" customWidth="1"/>
    <col min="3586" max="3586" width="34.69921875" style="324" customWidth="1"/>
    <col min="3587" max="3587" width="11.19921875" style="324" customWidth="1"/>
    <col min="3588" max="3588" width="0" style="324" hidden="1" customWidth="1"/>
    <col min="3589" max="3590" width="10.69921875" style="324" customWidth="1"/>
    <col min="3591" max="3591" width="15" style="324" customWidth="1"/>
    <col min="3592" max="3592" width="11.3984375" style="324" customWidth="1"/>
    <col min="3593" max="3593" width="0" style="324" hidden="1" customWidth="1"/>
    <col min="3594" max="3594" width="10.19921875" style="324" customWidth="1"/>
    <col min="3595" max="3595" width="11.69921875" style="324" customWidth="1"/>
    <col min="3596" max="3596" width="15.69921875" style="324" customWidth="1"/>
    <col min="3597" max="3597" width="13.19921875" style="324" customWidth="1"/>
    <col min="3598" max="3598" width="10.3984375" style="324" customWidth="1"/>
    <col min="3599" max="3599" width="10.8984375" style="324" customWidth="1"/>
    <col min="3600" max="3600" width="11.59765625" style="324" customWidth="1"/>
    <col min="3601" max="3601" width="13.69921875" style="324" customWidth="1"/>
    <col min="3602" max="3840" width="8.19921875" style="324"/>
    <col min="3841" max="3841" width="5.69921875" style="324" bestFit="1" customWidth="1"/>
    <col min="3842" max="3842" width="34.69921875" style="324" customWidth="1"/>
    <col min="3843" max="3843" width="11.19921875" style="324" customWidth="1"/>
    <col min="3844" max="3844" width="0" style="324" hidden="1" customWidth="1"/>
    <col min="3845" max="3846" width="10.69921875" style="324" customWidth="1"/>
    <col min="3847" max="3847" width="15" style="324" customWidth="1"/>
    <col min="3848" max="3848" width="11.3984375" style="324" customWidth="1"/>
    <col min="3849" max="3849" width="0" style="324" hidden="1" customWidth="1"/>
    <col min="3850" max="3850" width="10.19921875" style="324" customWidth="1"/>
    <col min="3851" max="3851" width="11.69921875" style="324" customWidth="1"/>
    <col min="3852" max="3852" width="15.69921875" style="324" customWidth="1"/>
    <col min="3853" max="3853" width="13.19921875" style="324" customWidth="1"/>
    <col min="3854" max="3854" width="10.3984375" style="324" customWidth="1"/>
    <col min="3855" max="3855" width="10.8984375" style="324" customWidth="1"/>
    <col min="3856" max="3856" width="11.59765625" style="324" customWidth="1"/>
    <col min="3857" max="3857" width="13.69921875" style="324" customWidth="1"/>
    <col min="3858" max="4096" width="8.19921875" style="324"/>
    <col min="4097" max="4097" width="5.69921875" style="324" bestFit="1" customWidth="1"/>
    <col min="4098" max="4098" width="34.69921875" style="324" customWidth="1"/>
    <col min="4099" max="4099" width="11.19921875" style="324" customWidth="1"/>
    <col min="4100" max="4100" width="0" style="324" hidden="1" customWidth="1"/>
    <col min="4101" max="4102" width="10.69921875" style="324" customWidth="1"/>
    <col min="4103" max="4103" width="15" style="324" customWidth="1"/>
    <col min="4104" max="4104" width="11.3984375" style="324" customWidth="1"/>
    <col min="4105" max="4105" width="0" style="324" hidden="1" customWidth="1"/>
    <col min="4106" max="4106" width="10.19921875" style="324" customWidth="1"/>
    <col min="4107" max="4107" width="11.69921875" style="324" customWidth="1"/>
    <col min="4108" max="4108" width="15.69921875" style="324" customWidth="1"/>
    <col min="4109" max="4109" width="13.19921875" style="324" customWidth="1"/>
    <col min="4110" max="4110" width="10.3984375" style="324" customWidth="1"/>
    <col min="4111" max="4111" width="10.8984375" style="324" customWidth="1"/>
    <col min="4112" max="4112" width="11.59765625" style="324" customWidth="1"/>
    <col min="4113" max="4113" width="13.69921875" style="324" customWidth="1"/>
    <col min="4114" max="4352" width="8.19921875" style="324"/>
    <col min="4353" max="4353" width="5.69921875" style="324" bestFit="1" customWidth="1"/>
    <col min="4354" max="4354" width="34.69921875" style="324" customWidth="1"/>
    <col min="4355" max="4355" width="11.19921875" style="324" customWidth="1"/>
    <col min="4356" max="4356" width="0" style="324" hidden="1" customWidth="1"/>
    <col min="4357" max="4358" width="10.69921875" style="324" customWidth="1"/>
    <col min="4359" max="4359" width="15" style="324" customWidth="1"/>
    <col min="4360" max="4360" width="11.3984375" style="324" customWidth="1"/>
    <col min="4361" max="4361" width="0" style="324" hidden="1" customWidth="1"/>
    <col min="4362" max="4362" width="10.19921875" style="324" customWidth="1"/>
    <col min="4363" max="4363" width="11.69921875" style="324" customWidth="1"/>
    <col min="4364" max="4364" width="15.69921875" style="324" customWidth="1"/>
    <col min="4365" max="4365" width="13.19921875" style="324" customWidth="1"/>
    <col min="4366" max="4366" width="10.3984375" style="324" customWidth="1"/>
    <col min="4367" max="4367" width="10.8984375" style="324" customWidth="1"/>
    <col min="4368" max="4368" width="11.59765625" style="324" customWidth="1"/>
    <col min="4369" max="4369" width="13.69921875" style="324" customWidth="1"/>
    <col min="4370" max="4608" width="8.19921875" style="324"/>
    <col min="4609" max="4609" width="5.69921875" style="324" bestFit="1" customWidth="1"/>
    <col min="4610" max="4610" width="34.69921875" style="324" customWidth="1"/>
    <col min="4611" max="4611" width="11.19921875" style="324" customWidth="1"/>
    <col min="4612" max="4612" width="0" style="324" hidden="1" customWidth="1"/>
    <col min="4613" max="4614" width="10.69921875" style="324" customWidth="1"/>
    <col min="4615" max="4615" width="15" style="324" customWidth="1"/>
    <col min="4616" max="4616" width="11.3984375" style="324" customWidth="1"/>
    <col min="4617" max="4617" width="0" style="324" hidden="1" customWidth="1"/>
    <col min="4618" max="4618" width="10.19921875" style="324" customWidth="1"/>
    <col min="4619" max="4619" width="11.69921875" style="324" customWidth="1"/>
    <col min="4620" max="4620" width="15.69921875" style="324" customWidth="1"/>
    <col min="4621" max="4621" width="13.19921875" style="324" customWidth="1"/>
    <col min="4622" max="4622" width="10.3984375" style="324" customWidth="1"/>
    <col min="4623" max="4623" width="10.8984375" style="324" customWidth="1"/>
    <col min="4624" max="4624" width="11.59765625" style="324" customWidth="1"/>
    <col min="4625" max="4625" width="13.69921875" style="324" customWidth="1"/>
    <col min="4626" max="4864" width="8.19921875" style="324"/>
    <col min="4865" max="4865" width="5.69921875" style="324" bestFit="1" customWidth="1"/>
    <col min="4866" max="4866" width="34.69921875" style="324" customWidth="1"/>
    <col min="4867" max="4867" width="11.19921875" style="324" customWidth="1"/>
    <col min="4868" max="4868" width="0" style="324" hidden="1" customWidth="1"/>
    <col min="4869" max="4870" width="10.69921875" style="324" customWidth="1"/>
    <col min="4871" max="4871" width="15" style="324" customWidth="1"/>
    <col min="4872" max="4872" width="11.3984375" style="324" customWidth="1"/>
    <col min="4873" max="4873" width="0" style="324" hidden="1" customWidth="1"/>
    <col min="4874" max="4874" width="10.19921875" style="324" customWidth="1"/>
    <col min="4875" max="4875" width="11.69921875" style="324" customWidth="1"/>
    <col min="4876" max="4876" width="15.69921875" style="324" customWidth="1"/>
    <col min="4877" max="4877" width="13.19921875" style="324" customWidth="1"/>
    <col min="4878" max="4878" width="10.3984375" style="324" customWidth="1"/>
    <col min="4879" max="4879" width="10.8984375" style="324" customWidth="1"/>
    <col min="4880" max="4880" width="11.59765625" style="324" customWidth="1"/>
    <col min="4881" max="4881" width="13.69921875" style="324" customWidth="1"/>
    <col min="4882" max="5120" width="8.19921875" style="324"/>
    <col min="5121" max="5121" width="5.69921875" style="324" bestFit="1" customWidth="1"/>
    <col min="5122" max="5122" width="34.69921875" style="324" customWidth="1"/>
    <col min="5123" max="5123" width="11.19921875" style="324" customWidth="1"/>
    <col min="5124" max="5124" width="0" style="324" hidden="1" customWidth="1"/>
    <col min="5125" max="5126" width="10.69921875" style="324" customWidth="1"/>
    <col min="5127" max="5127" width="15" style="324" customWidth="1"/>
    <col min="5128" max="5128" width="11.3984375" style="324" customWidth="1"/>
    <col min="5129" max="5129" width="0" style="324" hidden="1" customWidth="1"/>
    <col min="5130" max="5130" width="10.19921875" style="324" customWidth="1"/>
    <col min="5131" max="5131" width="11.69921875" style="324" customWidth="1"/>
    <col min="5132" max="5132" width="15.69921875" style="324" customWidth="1"/>
    <col min="5133" max="5133" width="13.19921875" style="324" customWidth="1"/>
    <col min="5134" max="5134" width="10.3984375" style="324" customWidth="1"/>
    <col min="5135" max="5135" width="10.8984375" style="324" customWidth="1"/>
    <col min="5136" max="5136" width="11.59765625" style="324" customWidth="1"/>
    <col min="5137" max="5137" width="13.69921875" style="324" customWidth="1"/>
    <col min="5138" max="5376" width="8.19921875" style="324"/>
    <col min="5377" max="5377" width="5.69921875" style="324" bestFit="1" customWidth="1"/>
    <col min="5378" max="5378" width="34.69921875" style="324" customWidth="1"/>
    <col min="5379" max="5379" width="11.19921875" style="324" customWidth="1"/>
    <col min="5380" max="5380" width="0" style="324" hidden="1" customWidth="1"/>
    <col min="5381" max="5382" width="10.69921875" style="324" customWidth="1"/>
    <col min="5383" max="5383" width="15" style="324" customWidth="1"/>
    <col min="5384" max="5384" width="11.3984375" style="324" customWidth="1"/>
    <col min="5385" max="5385" width="0" style="324" hidden="1" customWidth="1"/>
    <col min="5386" max="5386" width="10.19921875" style="324" customWidth="1"/>
    <col min="5387" max="5387" width="11.69921875" style="324" customWidth="1"/>
    <col min="5388" max="5388" width="15.69921875" style="324" customWidth="1"/>
    <col min="5389" max="5389" width="13.19921875" style="324" customWidth="1"/>
    <col min="5390" max="5390" width="10.3984375" style="324" customWidth="1"/>
    <col min="5391" max="5391" width="10.8984375" style="324" customWidth="1"/>
    <col min="5392" max="5392" width="11.59765625" style="324" customWidth="1"/>
    <col min="5393" max="5393" width="13.69921875" style="324" customWidth="1"/>
    <col min="5394" max="5632" width="8.19921875" style="324"/>
    <col min="5633" max="5633" width="5.69921875" style="324" bestFit="1" customWidth="1"/>
    <col min="5634" max="5634" width="34.69921875" style="324" customWidth="1"/>
    <col min="5635" max="5635" width="11.19921875" style="324" customWidth="1"/>
    <col min="5636" max="5636" width="0" style="324" hidden="1" customWidth="1"/>
    <col min="5637" max="5638" width="10.69921875" style="324" customWidth="1"/>
    <col min="5639" max="5639" width="15" style="324" customWidth="1"/>
    <col min="5640" max="5640" width="11.3984375" style="324" customWidth="1"/>
    <col min="5641" max="5641" width="0" style="324" hidden="1" customWidth="1"/>
    <col min="5642" max="5642" width="10.19921875" style="324" customWidth="1"/>
    <col min="5643" max="5643" width="11.69921875" style="324" customWidth="1"/>
    <col min="5644" max="5644" width="15.69921875" style="324" customWidth="1"/>
    <col min="5645" max="5645" width="13.19921875" style="324" customWidth="1"/>
    <col min="5646" max="5646" width="10.3984375" style="324" customWidth="1"/>
    <col min="5647" max="5647" width="10.8984375" style="324" customWidth="1"/>
    <col min="5648" max="5648" width="11.59765625" style="324" customWidth="1"/>
    <col min="5649" max="5649" width="13.69921875" style="324" customWidth="1"/>
    <col min="5650" max="5888" width="8.19921875" style="324"/>
    <col min="5889" max="5889" width="5.69921875" style="324" bestFit="1" customWidth="1"/>
    <col min="5890" max="5890" width="34.69921875" style="324" customWidth="1"/>
    <col min="5891" max="5891" width="11.19921875" style="324" customWidth="1"/>
    <col min="5892" max="5892" width="0" style="324" hidden="1" customWidth="1"/>
    <col min="5893" max="5894" width="10.69921875" style="324" customWidth="1"/>
    <col min="5895" max="5895" width="15" style="324" customWidth="1"/>
    <col min="5896" max="5896" width="11.3984375" style="324" customWidth="1"/>
    <col min="5897" max="5897" width="0" style="324" hidden="1" customWidth="1"/>
    <col min="5898" max="5898" width="10.19921875" style="324" customWidth="1"/>
    <col min="5899" max="5899" width="11.69921875" style="324" customWidth="1"/>
    <col min="5900" max="5900" width="15.69921875" style="324" customWidth="1"/>
    <col min="5901" max="5901" width="13.19921875" style="324" customWidth="1"/>
    <col min="5902" max="5902" width="10.3984375" style="324" customWidth="1"/>
    <col min="5903" max="5903" width="10.8984375" style="324" customWidth="1"/>
    <col min="5904" max="5904" width="11.59765625" style="324" customWidth="1"/>
    <col min="5905" max="5905" width="13.69921875" style="324" customWidth="1"/>
    <col min="5906" max="6144" width="8.19921875" style="324"/>
    <col min="6145" max="6145" width="5.69921875" style="324" bestFit="1" customWidth="1"/>
    <col min="6146" max="6146" width="34.69921875" style="324" customWidth="1"/>
    <col min="6147" max="6147" width="11.19921875" style="324" customWidth="1"/>
    <col min="6148" max="6148" width="0" style="324" hidden="1" customWidth="1"/>
    <col min="6149" max="6150" width="10.69921875" style="324" customWidth="1"/>
    <col min="6151" max="6151" width="15" style="324" customWidth="1"/>
    <col min="6152" max="6152" width="11.3984375" style="324" customWidth="1"/>
    <col min="6153" max="6153" width="0" style="324" hidden="1" customWidth="1"/>
    <col min="6154" max="6154" width="10.19921875" style="324" customWidth="1"/>
    <col min="6155" max="6155" width="11.69921875" style="324" customWidth="1"/>
    <col min="6156" max="6156" width="15.69921875" style="324" customWidth="1"/>
    <col min="6157" max="6157" width="13.19921875" style="324" customWidth="1"/>
    <col min="6158" max="6158" width="10.3984375" style="324" customWidth="1"/>
    <col min="6159" max="6159" width="10.8984375" style="324" customWidth="1"/>
    <col min="6160" max="6160" width="11.59765625" style="324" customWidth="1"/>
    <col min="6161" max="6161" width="13.69921875" style="324" customWidth="1"/>
    <col min="6162" max="6400" width="8.19921875" style="324"/>
    <col min="6401" max="6401" width="5.69921875" style="324" bestFit="1" customWidth="1"/>
    <col min="6402" max="6402" width="34.69921875" style="324" customWidth="1"/>
    <col min="6403" max="6403" width="11.19921875" style="324" customWidth="1"/>
    <col min="6404" max="6404" width="0" style="324" hidden="1" customWidth="1"/>
    <col min="6405" max="6406" width="10.69921875" style="324" customWidth="1"/>
    <col min="6407" max="6407" width="15" style="324" customWidth="1"/>
    <col min="6408" max="6408" width="11.3984375" style="324" customWidth="1"/>
    <col min="6409" max="6409" width="0" style="324" hidden="1" customWidth="1"/>
    <col min="6410" max="6410" width="10.19921875" style="324" customWidth="1"/>
    <col min="6411" max="6411" width="11.69921875" style="324" customWidth="1"/>
    <col min="6412" max="6412" width="15.69921875" style="324" customWidth="1"/>
    <col min="6413" max="6413" width="13.19921875" style="324" customWidth="1"/>
    <col min="6414" max="6414" width="10.3984375" style="324" customWidth="1"/>
    <col min="6415" max="6415" width="10.8984375" style="324" customWidth="1"/>
    <col min="6416" max="6416" width="11.59765625" style="324" customWidth="1"/>
    <col min="6417" max="6417" width="13.69921875" style="324" customWidth="1"/>
    <col min="6418" max="6656" width="8.19921875" style="324"/>
    <col min="6657" max="6657" width="5.69921875" style="324" bestFit="1" customWidth="1"/>
    <col min="6658" max="6658" width="34.69921875" style="324" customWidth="1"/>
    <col min="6659" max="6659" width="11.19921875" style="324" customWidth="1"/>
    <col min="6660" max="6660" width="0" style="324" hidden="1" customWidth="1"/>
    <col min="6661" max="6662" width="10.69921875" style="324" customWidth="1"/>
    <col min="6663" max="6663" width="15" style="324" customWidth="1"/>
    <col min="6664" max="6664" width="11.3984375" style="324" customWidth="1"/>
    <col min="6665" max="6665" width="0" style="324" hidden="1" customWidth="1"/>
    <col min="6666" max="6666" width="10.19921875" style="324" customWidth="1"/>
    <col min="6667" max="6667" width="11.69921875" style="324" customWidth="1"/>
    <col min="6668" max="6668" width="15.69921875" style="324" customWidth="1"/>
    <col min="6669" max="6669" width="13.19921875" style="324" customWidth="1"/>
    <col min="6670" max="6670" width="10.3984375" style="324" customWidth="1"/>
    <col min="6671" max="6671" width="10.8984375" style="324" customWidth="1"/>
    <col min="6672" max="6672" width="11.59765625" style="324" customWidth="1"/>
    <col min="6673" max="6673" width="13.69921875" style="324" customWidth="1"/>
    <col min="6674" max="6912" width="8.19921875" style="324"/>
    <col min="6913" max="6913" width="5.69921875" style="324" bestFit="1" customWidth="1"/>
    <col min="6914" max="6914" width="34.69921875" style="324" customWidth="1"/>
    <col min="6915" max="6915" width="11.19921875" style="324" customWidth="1"/>
    <col min="6916" max="6916" width="0" style="324" hidden="1" customWidth="1"/>
    <col min="6917" max="6918" width="10.69921875" style="324" customWidth="1"/>
    <col min="6919" max="6919" width="15" style="324" customWidth="1"/>
    <col min="6920" max="6920" width="11.3984375" style="324" customWidth="1"/>
    <col min="6921" max="6921" width="0" style="324" hidden="1" customWidth="1"/>
    <col min="6922" max="6922" width="10.19921875" style="324" customWidth="1"/>
    <col min="6923" max="6923" width="11.69921875" style="324" customWidth="1"/>
    <col min="6924" max="6924" width="15.69921875" style="324" customWidth="1"/>
    <col min="6925" max="6925" width="13.19921875" style="324" customWidth="1"/>
    <col min="6926" max="6926" width="10.3984375" style="324" customWidth="1"/>
    <col min="6927" max="6927" width="10.8984375" style="324" customWidth="1"/>
    <col min="6928" max="6928" width="11.59765625" style="324" customWidth="1"/>
    <col min="6929" max="6929" width="13.69921875" style="324" customWidth="1"/>
    <col min="6930" max="7168" width="8.19921875" style="324"/>
    <col min="7169" max="7169" width="5.69921875" style="324" bestFit="1" customWidth="1"/>
    <col min="7170" max="7170" width="34.69921875" style="324" customWidth="1"/>
    <col min="7171" max="7171" width="11.19921875" style="324" customWidth="1"/>
    <col min="7172" max="7172" width="0" style="324" hidden="1" customWidth="1"/>
    <col min="7173" max="7174" width="10.69921875" style="324" customWidth="1"/>
    <col min="7175" max="7175" width="15" style="324" customWidth="1"/>
    <col min="7176" max="7176" width="11.3984375" style="324" customWidth="1"/>
    <col min="7177" max="7177" width="0" style="324" hidden="1" customWidth="1"/>
    <col min="7178" max="7178" width="10.19921875" style="324" customWidth="1"/>
    <col min="7179" max="7179" width="11.69921875" style="324" customWidth="1"/>
    <col min="7180" max="7180" width="15.69921875" style="324" customWidth="1"/>
    <col min="7181" max="7181" width="13.19921875" style="324" customWidth="1"/>
    <col min="7182" max="7182" width="10.3984375" style="324" customWidth="1"/>
    <col min="7183" max="7183" width="10.8984375" style="324" customWidth="1"/>
    <col min="7184" max="7184" width="11.59765625" style="324" customWidth="1"/>
    <col min="7185" max="7185" width="13.69921875" style="324" customWidth="1"/>
    <col min="7186" max="7424" width="8.19921875" style="324"/>
    <col min="7425" max="7425" width="5.69921875" style="324" bestFit="1" customWidth="1"/>
    <col min="7426" max="7426" width="34.69921875" style="324" customWidth="1"/>
    <col min="7427" max="7427" width="11.19921875" style="324" customWidth="1"/>
    <col min="7428" max="7428" width="0" style="324" hidden="1" customWidth="1"/>
    <col min="7429" max="7430" width="10.69921875" style="324" customWidth="1"/>
    <col min="7431" max="7431" width="15" style="324" customWidth="1"/>
    <col min="7432" max="7432" width="11.3984375" style="324" customWidth="1"/>
    <col min="7433" max="7433" width="0" style="324" hidden="1" customWidth="1"/>
    <col min="7434" max="7434" width="10.19921875" style="324" customWidth="1"/>
    <col min="7435" max="7435" width="11.69921875" style="324" customWidth="1"/>
    <col min="7436" max="7436" width="15.69921875" style="324" customWidth="1"/>
    <col min="7437" max="7437" width="13.19921875" style="324" customWidth="1"/>
    <col min="7438" max="7438" width="10.3984375" style="324" customWidth="1"/>
    <col min="7439" max="7439" width="10.8984375" style="324" customWidth="1"/>
    <col min="7440" max="7440" width="11.59765625" style="324" customWidth="1"/>
    <col min="7441" max="7441" width="13.69921875" style="324" customWidth="1"/>
    <col min="7442" max="7680" width="8.19921875" style="324"/>
    <col min="7681" max="7681" width="5.69921875" style="324" bestFit="1" customWidth="1"/>
    <col min="7682" max="7682" width="34.69921875" style="324" customWidth="1"/>
    <col min="7683" max="7683" width="11.19921875" style="324" customWidth="1"/>
    <col min="7684" max="7684" width="0" style="324" hidden="1" customWidth="1"/>
    <col min="7685" max="7686" width="10.69921875" style="324" customWidth="1"/>
    <col min="7687" max="7687" width="15" style="324" customWidth="1"/>
    <col min="7688" max="7688" width="11.3984375" style="324" customWidth="1"/>
    <col min="7689" max="7689" width="0" style="324" hidden="1" customWidth="1"/>
    <col min="7690" max="7690" width="10.19921875" style="324" customWidth="1"/>
    <col min="7691" max="7691" width="11.69921875" style="324" customWidth="1"/>
    <col min="7692" max="7692" width="15.69921875" style="324" customWidth="1"/>
    <col min="7693" max="7693" width="13.19921875" style="324" customWidth="1"/>
    <col min="7694" max="7694" width="10.3984375" style="324" customWidth="1"/>
    <col min="7695" max="7695" width="10.8984375" style="324" customWidth="1"/>
    <col min="7696" max="7696" width="11.59765625" style="324" customWidth="1"/>
    <col min="7697" max="7697" width="13.69921875" style="324" customWidth="1"/>
    <col min="7698" max="7936" width="8.19921875" style="324"/>
    <col min="7937" max="7937" width="5.69921875" style="324" bestFit="1" customWidth="1"/>
    <col min="7938" max="7938" width="34.69921875" style="324" customWidth="1"/>
    <col min="7939" max="7939" width="11.19921875" style="324" customWidth="1"/>
    <col min="7940" max="7940" width="0" style="324" hidden="1" customWidth="1"/>
    <col min="7941" max="7942" width="10.69921875" style="324" customWidth="1"/>
    <col min="7943" max="7943" width="15" style="324" customWidth="1"/>
    <col min="7944" max="7944" width="11.3984375" style="324" customWidth="1"/>
    <col min="7945" max="7945" width="0" style="324" hidden="1" customWidth="1"/>
    <col min="7946" max="7946" width="10.19921875" style="324" customWidth="1"/>
    <col min="7947" max="7947" width="11.69921875" style="324" customWidth="1"/>
    <col min="7948" max="7948" width="15.69921875" style="324" customWidth="1"/>
    <col min="7949" max="7949" width="13.19921875" style="324" customWidth="1"/>
    <col min="7950" max="7950" width="10.3984375" style="324" customWidth="1"/>
    <col min="7951" max="7951" width="10.8984375" style="324" customWidth="1"/>
    <col min="7952" max="7952" width="11.59765625" style="324" customWidth="1"/>
    <col min="7953" max="7953" width="13.69921875" style="324" customWidth="1"/>
    <col min="7954" max="8192" width="8.19921875" style="324"/>
    <col min="8193" max="8193" width="5.69921875" style="324" bestFit="1" customWidth="1"/>
    <col min="8194" max="8194" width="34.69921875" style="324" customWidth="1"/>
    <col min="8195" max="8195" width="11.19921875" style="324" customWidth="1"/>
    <col min="8196" max="8196" width="0" style="324" hidden="1" customWidth="1"/>
    <col min="8197" max="8198" width="10.69921875" style="324" customWidth="1"/>
    <col min="8199" max="8199" width="15" style="324" customWidth="1"/>
    <col min="8200" max="8200" width="11.3984375" style="324" customWidth="1"/>
    <col min="8201" max="8201" width="0" style="324" hidden="1" customWidth="1"/>
    <col min="8202" max="8202" width="10.19921875" style="324" customWidth="1"/>
    <col min="8203" max="8203" width="11.69921875" style="324" customWidth="1"/>
    <col min="8204" max="8204" width="15.69921875" style="324" customWidth="1"/>
    <col min="8205" max="8205" width="13.19921875" style="324" customWidth="1"/>
    <col min="8206" max="8206" width="10.3984375" style="324" customWidth="1"/>
    <col min="8207" max="8207" width="10.8984375" style="324" customWidth="1"/>
    <col min="8208" max="8208" width="11.59765625" style="324" customWidth="1"/>
    <col min="8209" max="8209" width="13.69921875" style="324" customWidth="1"/>
    <col min="8210" max="8448" width="8.19921875" style="324"/>
    <col min="8449" max="8449" width="5.69921875" style="324" bestFit="1" customWidth="1"/>
    <col min="8450" max="8450" width="34.69921875" style="324" customWidth="1"/>
    <col min="8451" max="8451" width="11.19921875" style="324" customWidth="1"/>
    <col min="8452" max="8452" width="0" style="324" hidden="1" customWidth="1"/>
    <col min="8453" max="8454" width="10.69921875" style="324" customWidth="1"/>
    <col min="8455" max="8455" width="15" style="324" customWidth="1"/>
    <col min="8456" max="8456" width="11.3984375" style="324" customWidth="1"/>
    <col min="8457" max="8457" width="0" style="324" hidden="1" customWidth="1"/>
    <col min="8458" max="8458" width="10.19921875" style="324" customWidth="1"/>
    <col min="8459" max="8459" width="11.69921875" style="324" customWidth="1"/>
    <col min="8460" max="8460" width="15.69921875" style="324" customWidth="1"/>
    <col min="8461" max="8461" width="13.19921875" style="324" customWidth="1"/>
    <col min="8462" max="8462" width="10.3984375" style="324" customWidth="1"/>
    <col min="8463" max="8463" width="10.8984375" style="324" customWidth="1"/>
    <col min="8464" max="8464" width="11.59765625" style="324" customWidth="1"/>
    <col min="8465" max="8465" width="13.69921875" style="324" customWidth="1"/>
    <col min="8466" max="8704" width="8.19921875" style="324"/>
    <col min="8705" max="8705" width="5.69921875" style="324" bestFit="1" customWidth="1"/>
    <col min="8706" max="8706" width="34.69921875" style="324" customWidth="1"/>
    <col min="8707" max="8707" width="11.19921875" style="324" customWidth="1"/>
    <col min="8708" max="8708" width="0" style="324" hidden="1" customWidth="1"/>
    <col min="8709" max="8710" width="10.69921875" style="324" customWidth="1"/>
    <col min="8711" max="8711" width="15" style="324" customWidth="1"/>
    <col min="8712" max="8712" width="11.3984375" style="324" customWidth="1"/>
    <col min="8713" max="8713" width="0" style="324" hidden="1" customWidth="1"/>
    <col min="8714" max="8714" width="10.19921875" style="324" customWidth="1"/>
    <col min="8715" max="8715" width="11.69921875" style="324" customWidth="1"/>
    <col min="8716" max="8716" width="15.69921875" style="324" customWidth="1"/>
    <col min="8717" max="8717" width="13.19921875" style="324" customWidth="1"/>
    <col min="8718" max="8718" width="10.3984375" style="324" customWidth="1"/>
    <col min="8719" max="8719" width="10.8984375" style="324" customWidth="1"/>
    <col min="8720" max="8720" width="11.59765625" style="324" customWidth="1"/>
    <col min="8721" max="8721" width="13.69921875" style="324" customWidth="1"/>
    <col min="8722" max="8960" width="8.19921875" style="324"/>
    <col min="8961" max="8961" width="5.69921875" style="324" bestFit="1" customWidth="1"/>
    <col min="8962" max="8962" width="34.69921875" style="324" customWidth="1"/>
    <col min="8963" max="8963" width="11.19921875" style="324" customWidth="1"/>
    <col min="8964" max="8964" width="0" style="324" hidden="1" customWidth="1"/>
    <col min="8965" max="8966" width="10.69921875" style="324" customWidth="1"/>
    <col min="8967" max="8967" width="15" style="324" customWidth="1"/>
    <col min="8968" max="8968" width="11.3984375" style="324" customWidth="1"/>
    <col min="8969" max="8969" width="0" style="324" hidden="1" customWidth="1"/>
    <col min="8970" max="8970" width="10.19921875" style="324" customWidth="1"/>
    <col min="8971" max="8971" width="11.69921875" style="324" customWidth="1"/>
    <col min="8972" max="8972" width="15.69921875" style="324" customWidth="1"/>
    <col min="8973" max="8973" width="13.19921875" style="324" customWidth="1"/>
    <col min="8974" max="8974" width="10.3984375" style="324" customWidth="1"/>
    <col min="8975" max="8975" width="10.8984375" style="324" customWidth="1"/>
    <col min="8976" max="8976" width="11.59765625" style="324" customWidth="1"/>
    <col min="8977" max="8977" width="13.69921875" style="324" customWidth="1"/>
    <col min="8978" max="9216" width="8.19921875" style="324"/>
    <col min="9217" max="9217" width="5.69921875" style="324" bestFit="1" customWidth="1"/>
    <col min="9218" max="9218" width="34.69921875" style="324" customWidth="1"/>
    <col min="9219" max="9219" width="11.19921875" style="324" customWidth="1"/>
    <col min="9220" max="9220" width="0" style="324" hidden="1" customWidth="1"/>
    <col min="9221" max="9222" width="10.69921875" style="324" customWidth="1"/>
    <col min="9223" max="9223" width="15" style="324" customWidth="1"/>
    <col min="9224" max="9224" width="11.3984375" style="324" customWidth="1"/>
    <col min="9225" max="9225" width="0" style="324" hidden="1" customWidth="1"/>
    <col min="9226" max="9226" width="10.19921875" style="324" customWidth="1"/>
    <col min="9227" max="9227" width="11.69921875" style="324" customWidth="1"/>
    <col min="9228" max="9228" width="15.69921875" style="324" customWidth="1"/>
    <col min="9229" max="9229" width="13.19921875" style="324" customWidth="1"/>
    <col min="9230" max="9230" width="10.3984375" style="324" customWidth="1"/>
    <col min="9231" max="9231" width="10.8984375" style="324" customWidth="1"/>
    <col min="9232" max="9232" width="11.59765625" style="324" customWidth="1"/>
    <col min="9233" max="9233" width="13.69921875" style="324" customWidth="1"/>
    <col min="9234" max="9472" width="8.19921875" style="324"/>
    <col min="9473" max="9473" width="5.69921875" style="324" bestFit="1" customWidth="1"/>
    <col min="9474" max="9474" width="34.69921875" style="324" customWidth="1"/>
    <col min="9475" max="9475" width="11.19921875" style="324" customWidth="1"/>
    <col min="9476" max="9476" width="0" style="324" hidden="1" customWidth="1"/>
    <col min="9477" max="9478" width="10.69921875" style="324" customWidth="1"/>
    <col min="9479" max="9479" width="15" style="324" customWidth="1"/>
    <col min="9480" max="9480" width="11.3984375" style="324" customWidth="1"/>
    <col min="9481" max="9481" width="0" style="324" hidden="1" customWidth="1"/>
    <col min="9482" max="9482" width="10.19921875" style="324" customWidth="1"/>
    <col min="9483" max="9483" width="11.69921875" style="324" customWidth="1"/>
    <col min="9484" max="9484" width="15.69921875" style="324" customWidth="1"/>
    <col min="9485" max="9485" width="13.19921875" style="324" customWidth="1"/>
    <col min="9486" max="9486" width="10.3984375" style="324" customWidth="1"/>
    <col min="9487" max="9487" width="10.8984375" style="324" customWidth="1"/>
    <col min="9488" max="9488" width="11.59765625" style="324" customWidth="1"/>
    <col min="9489" max="9489" width="13.69921875" style="324" customWidth="1"/>
    <col min="9490" max="9728" width="8.19921875" style="324"/>
    <col min="9729" max="9729" width="5.69921875" style="324" bestFit="1" customWidth="1"/>
    <col min="9730" max="9730" width="34.69921875" style="324" customWidth="1"/>
    <col min="9731" max="9731" width="11.19921875" style="324" customWidth="1"/>
    <col min="9732" max="9732" width="0" style="324" hidden="1" customWidth="1"/>
    <col min="9733" max="9734" width="10.69921875" style="324" customWidth="1"/>
    <col min="9735" max="9735" width="15" style="324" customWidth="1"/>
    <col min="9736" max="9736" width="11.3984375" style="324" customWidth="1"/>
    <col min="9737" max="9737" width="0" style="324" hidden="1" customWidth="1"/>
    <col min="9738" max="9738" width="10.19921875" style="324" customWidth="1"/>
    <col min="9739" max="9739" width="11.69921875" style="324" customWidth="1"/>
    <col min="9740" max="9740" width="15.69921875" style="324" customWidth="1"/>
    <col min="9741" max="9741" width="13.19921875" style="324" customWidth="1"/>
    <col min="9742" max="9742" width="10.3984375" style="324" customWidth="1"/>
    <col min="9743" max="9743" width="10.8984375" style="324" customWidth="1"/>
    <col min="9744" max="9744" width="11.59765625" style="324" customWidth="1"/>
    <col min="9745" max="9745" width="13.69921875" style="324" customWidth="1"/>
    <col min="9746" max="9984" width="8.19921875" style="324"/>
    <col min="9985" max="9985" width="5.69921875" style="324" bestFit="1" customWidth="1"/>
    <col min="9986" max="9986" width="34.69921875" style="324" customWidth="1"/>
    <col min="9987" max="9987" width="11.19921875" style="324" customWidth="1"/>
    <col min="9988" max="9988" width="0" style="324" hidden="1" customWidth="1"/>
    <col min="9989" max="9990" width="10.69921875" style="324" customWidth="1"/>
    <col min="9991" max="9991" width="15" style="324" customWidth="1"/>
    <col min="9992" max="9992" width="11.3984375" style="324" customWidth="1"/>
    <col min="9993" max="9993" width="0" style="324" hidden="1" customWidth="1"/>
    <col min="9994" max="9994" width="10.19921875" style="324" customWidth="1"/>
    <col min="9995" max="9995" width="11.69921875" style="324" customWidth="1"/>
    <col min="9996" max="9996" width="15.69921875" style="324" customWidth="1"/>
    <col min="9997" max="9997" width="13.19921875" style="324" customWidth="1"/>
    <col min="9998" max="9998" width="10.3984375" style="324" customWidth="1"/>
    <col min="9999" max="9999" width="10.8984375" style="324" customWidth="1"/>
    <col min="10000" max="10000" width="11.59765625" style="324" customWidth="1"/>
    <col min="10001" max="10001" width="13.69921875" style="324" customWidth="1"/>
    <col min="10002" max="10240" width="8.19921875" style="324"/>
    <col min="10241" max="10241" width="5.69921875" style="324" bestFit="1" customWidth="1"/>
    <col min="10242" max="10242" width="34.69921875" style="324" customWidth="1"/>
    <col min="10243" max="10243" width="11.19921875" style="324" customWidth="1"/>
    <col min="10244" max="10244" width="0" style="324" hidden="1" customWidth="1"/>
    <col min="10245" max="10246" width="10.69921875" style="324" customWidth="1"/>
    <col min="10247" max="10247" width="15" style="324" customWidth="1"/>
    <col min="10248" max="10248" width="11.3984375" style="324" customWidth="1"/>
    <col min="10249" max="10249" width="0" style="324" hidden="1" customWidth="1"/>
    <col min="10250" max="10250" width="10.19921875" style="324" customWidth="1"/>
    <col min="10251" max="10251" width="11.69921875" style="324" customWidth="1"/>
    <col min="10252" max="10252" width="15.69921875" style="324" customWidth="1"/>
    <col min="10253" max="10253" width="13.19921875" style="324" customWidth="1"/>
    <col min="10254" max="10254" width="10.3984375" style="324" customWidth="1"/>
    <col min="10255" max="10255" width="10.8984375" style="324" customWidth="1"/>
    <col min="10256" max="10256" width="11.59765625" style="324" customWidth="1"/>
    <col min="10257" max="10257" width="13.69921875" style="324" customWidth="1"/>
    <col min="10258" max="10496" width="8.19921875" style="324"/>
    <col min="10497" max="10497" width="5.69921875" style="324" bestFit="1" customWidth="1"/>
    <col min="10498" max="10498" width="34.69921875" style="324" customWidth="1"/>
    <col min="10499" max="10499" width="11.19921875" style="324" customWidth="1"/>
    <col min="10500" max="10500" width="0" style="324" hidden="1" customWidth="1"/>
    <col min="10501" max="10502" width="10.69921875" style="324" customWidth="1"/>
    <col min="10503" max="10503" width="15" style="324" customWidth="1"/>
    <col min="10504" max="10504" width="11.3984375" style="324" customWidth="1"/>
    <col min="10505" max="10505" width="0" style="324" hidden="1" customWidth="1"/>
    <col min="10506" max="10506" width="10.19921875" style="324" customWidth="1"/>
    <col min="10507" max="10507" width="11.69921875" style="324" customWidth="1"/>
    <col min="10508" max="10508" width="15.69921875" style="324" customWidth="1"/>
    <col min="10509" max="10509" width="13.19921875" style="324" customWidth="1"/>
    <col min="10510" max="10510" width="10.3984375" style="324" customWidth="1"/>
    <col min="10511" max="10511" width="10.8984375" style="324" customWidth="1"/>
    <col min="10512" max="10512" width="11.59765625" style="324" customWidth="1"/>
    <col min="10513" max="10513" width="13.69921875" style="324" customWidth="1"/>
    <col min="10514" max="10752" width="8.19921875" style="324"/>
    <col min="10753" max="10753" width="5.69921875" style="324" bestFit="1" customWidth="1"/>
    <col min="10754" max="10754" width="34.69921875" style="324" customWidth="1"/>
    <col min="10755" max="10755" width="11.19921875" style="324" customWidth="1"/>
    <col min="10756" max="10756" width="0" style="324" hidden="1" customWidth="1"/>
    <col min="10757" max="10758" width="10.69921875" style="324" customWidth="1"/>
    <col min="10759" max="10759" width="15" style="324" customWidth="1"/>
    <col min="10760" max="10760" width="11.3984375" style="324" customWidth="1"/>
    <col min="10761" max="10761" width="0" style="324" hidden="1" customWidth="1"/>
    <col min="10762" max="10762" width="10.19921875" style="324" customWidth="1"/>
    <col min="10763" max="10763" width="11.69921875" style="324" customWidth="1"/>
    <col min="10764" max="10764" width="15.69921875" style="324" customWidth="1"/>
    <col min="10765" max="10765" width="13.19921875" style="324" customWidth="1"/>
    <col min="10766" max="10766" width="10.3984375" style="324" customWidth="1"/>
    <col min="10767" max="10767" width="10.8984375" style="324" customWidth="1"/>
    <col min="10768" max="10768" width="11.59765625" style="324" customWidth="1"/>
    <col min="10769" max="10769" width="13.69921875" style="324" customWidth="1"/>
    <col min="10770" max="11008" width="8.19921875" style="324"/>
    <col min="11009" max="11009" width="5.69921875" style="324" bestFit="1" customWidth="1"/>
    <col min="11010" max="11010" width="34.69921875" style="324" customWidth="1"/>
    <col min="11011" max="11011" width="11.19921875" style="324" customWidth="1"/>
    <col min="11012" max="11012" width="0" style="324" hidden="1" customWidth="1"/>
    <col min="11013" max="11014" width="10.69921875" style="324" customWidth="1"/>
    <col min="11015" max="11015" width="15" style="324" customWidth="1"/>
    <col min="11016" max="11016" width="11.3984375" style="324" customWidth="1"/>
    <col min="11017" max="11017" width="0" style="324" hidden="1" customWidth="1"/>
    <col min="11018" max="11018" width="10.19921875" style="324" customWidth="1"/>
    <col min="11019" max="11019" width="11.69921875" style="324" customWidth="1"/>
    <col min="11020" max="11020" width="15.69921875" style="324" customWidth="1"/>
    <col min="11021" max="11021" width="13.19921875" style="324" customWidth="1"/>
    <col min="11022" max="11022" width="10.3984375" style="324" customWidth="1"/>
    <col min="11023" max="11023" width="10.8984375" style="324" customWidth="1"/>
    <col min="11024" max="11024" width="11.59765625" style="324" customWidth="1"/>
    <col min="11025" max="11025" width="13.69921875" style="324" customWidth="1"/>
    <col min="11026" max="11264" width="8.19921875" style="324"/>
    <col min="11265" max="11265" width="5.69921875" style="324" bestFit="1" customWidth="1"/>
    <col min="11266" max="11266" width="34.69921875" style="324" customWidth="1"/>
    <col min="11267" max="11267" width="11.19921875" style="324" customWidth="1"/>
    <col min="11268" max="11268" width="0" style="324" hidden="1" customWidth="1"/>
    <col min="11269" max="11270" width="10.69921875" style="324" customWidth="1"/>
    <col min="11271" max="11271" width="15" style="324" customWidth="1"/>
    <col min="11272" max="11272" width="11.3984375" style="324" customWidth="1"/>
    <col min="11273" max="11273" width="0" style="324" hidden="1" customWidth="1"/>
    <col min="11274" max="11274" width="10.19921875" style="324" customWidth="1"/>
    <col min="11275" max="11275" width="11.69921875" style="324" customWidth="1"/>
    <col min="11276" max="11276" width="15.69921875" style="324" customWidth="1"/>
    <col min="11277" max="11277" width="13.19921875" style="324" customWidth="1"/>
    <col min="11278" max="11278" width="10.3984375" style="324" customWidth="1"/>
    <col min="11279" max="11279" width="10.8984375" style="324" customWidth="1"/>
    <col min="11280" max="11280" width="11.59765625" style="324" customWidth="1"/>
    <col min="11281" max="11281" width="13.69921875" style="324" customWidth="1"/>
    <col min="11282" max="11520" width="8.19921875" style="324"/>
    <col min="11521" max="11521" width="5.69921875" style="324" bestFit="1" customWidth="1"/>
    <col min="11522" max="11522" width="34.69921875" style="324" customWidth="1"/>
    <col min="11523" max="11523" width="11.19921875" style="324" customWidth="1"/>
    <col min="11524" max="11524" width="0" style="324" hidden="1" customWidth="1"/>
    <col min="11525" max="11526" width="10.69921875" style="324" customWidth="1"/>
    <col min="11527" max="11527" width="15" style="324" customWidth="1"/>
    <col min="11528" max="11528" width="11.3984375" style="324" customWidth="1"/>
    <col min="11529" max="11529" width="0" style="324" hidden="1" customWidth="1"/>
    <col min="11530" max="11530" width="10.19921875" style="324" customWidth="1"/>
    <col min="11531" max="11531" width="11.69921875" style="324" customWidth="1"/>
    <col min="11532" max="11532" width="15.69921875" style="324" customWidth="1"/>
    <col min="11533" max="11533" width="13.19921875" style="324" customWidth="1"/>
    <col min="11534" max="11534" width="10.3984375" style="324" customWidth="1"/>
    <col min="11535" max="11535" width="10.8984375" style="324" customWidth="1"/>
    <col min="11536" max="11536" width="11.59765625" style="324" customWidth="1"/>
    <col min="11537" max="11537" width="13.69921875" style="324" customWidth="1"/>
    <col min="11538" max="11776" width="8.19921875" style="324"/>
    <col min="11777" max="11777" width="5.69921875" style="324" bestFit="1" customWidth="1"/>
    <col min="11778" max="11778" width="34.69921875" style="324" customWidth="1"/>
    <col min="11779" max="11779" width="11.19921875" style="324" customWidth="1"/>
    <col min="11780" max="11780" width="0" style="324" hidden="1" customWidth="1"/>
    <col min="11781" max="11782" width="10.69921875" style="324" customWidth="1"/>
    <col min="11783" max="11783" width="15" style="324" customWidth="1"/>
    <col min="11784" max="11784" width="11.3984375" style="324" customWidth="1"/>
    <col min="11785" max="11785" width="0" style="324" hidden="1" customWidth="1"/>
    <col min="11786" max="11786" width="10.19921875" style="324" customWidth="1"/>
    <col min="11787" max="11787" width="11.69921875" style="324" customWidth="1"/>
    <col min="11788" max="11788" width="15.69921875" style="324" customWidth="1"/>
    <col min="11789" max="11789" width="13.19921875" style="324" customWidth="1"/>
    <col min="11790" max="11790" width="10.3984375" style="324" customWidth="1"/>
    <col min="11791" max="11791" width="10.8984375" style="324" customWidth="1"/>
    <col min="11792" max="11792" width="11.59765625" style="324" customWidth="1"/>
    <col min="11793" max="11793" width="13.69921875" style="324" customWidth="1"/>
    <col min="11794" max="12032" width="8.19921875" style="324"/>
    <col min="12033" max="12033" width="5.69921875" style="324" bestFit="1" customWidth="1"/>
    <col min="12034" max="12034" width="34.69921875" style="324" customWidth="1"/>
    <col min="12035" max="12035" width="11.19921875" style="324" customWidth="1"/>
    <col min="12036" max="12036" width="0" style="324" hidden="1" customWidth="1"/>
    <col min="12037" max="12038" width="10.69921875" style="324" customWidth="1"/>
    <col min="12039" max="12039" width="15" style="324" customWidth="1"/>
    <col min="12040" max="12040" width="11.3984375" style="324" customWidth="1"/>
    <col min="12041" max="12041" width="0" style="324" hidden="1" customWidth="1"/>
    <col min="12042" max="12042" width="10.19921875" style="324" customWidth="1"/>
    <col min="12043" max="12043" width="11.69921875" style="324" customWidth="1"/>
    <col min="12044" max="12044" width="15.69921875" style="324" customWidth="1"/>
    <col min="12045" max="12045" width="13.19921875" style="324" customWidth="1"/>
    <col min="12046" max="12046" width="10.3984375" style="324" customWidth="1"/>
    <col min="12047" max="12047" width="10.8984375" style="324" customWidth="1"/>
    <col min="12048" max="12048" width="11.59765625" style="324" customWidth="1"/>
    <col min="12049" max="12049" width="13.69921875" style="324" customWidth="1"/>
    <col min="12050" max="12288" width="8.19921875" style="324"/>
    <col min="12289" max="12289" width="5.69921875" style="324" bestFit="1" customWidth="1"/>
    <col min="12290" max="12290" width="34.69921875" style="324" customWidth="1"/>
    <col min="12291" max="12291" width="11.19921875" style="324" customWidth="1"/>
    <col min="12292" max="12292" width="0" style="324" hidden="1" customWidth="1"/>
    <col min="12293" max="12294" width="10.69921875" style="324" customWidth="1"/>
    <col min="12295" max="12295" width="15" style="324" customWidth="1"/>
    <col min="12296" max="12296" width="11.3984375" style="324" customWidth="1"/>
    <col min="12297" max="12297" width="0" style="324" hidden="1" customWidth="1"/>
    <col min="12298" max="12298" width="10.19921875" style="324" customWidth="1"/>
    <col min="12299" max="12299" width="11.69921875" style="324" customWidth="1"/>
    <col min="12300" max="12300" width="15.69921875" style="324" customWidth="1"/>
    <col min="12301" max="12301" width="13.19921875" style="324" customWidth="1"/>
    <col min="12302" max="12302" width="10.3984375" style="324" customWidth="1"/>
    <col min="12303" max="12303" width="10.8984375" style="324" customWidth="1"/>
    <col min="12304" max="12304" width="11.59765625" style="324" customWidth="1"/>
    <col min="12305" max="12305" width="13.69921875" style="324" customWidth="1"/>
    <col min="12306" max="12544" width="8.19921875" style="324"/>
    <col min="12545" max="12545" width="5.69921875" style="324" bestFit="1" customWidth="1"/>
    <col min="12546" max="12546" width="34.69921875" style="324" customWidth="1"/>
    <col min="12547" max="12547" width="11.19921875" style="324" customWidth="1"/>
    <col min="12548" max="12548" width="0" style="324" hidden="1" customWidth="1"/>
    <col min="12549" max="12550" width="10.69921875" style="324" customWidth="1"/>
    <col min="12551" max="12551" width="15" style="324" customWidth="1"/>
    <col min="12552" max="12552" width="11.3984375" style="324" customWidth="1"/>
    <col min="12553" max="12553" width="0" style="324" hidden="1" customWidth="1"/>
    <col min="12554" max="12554" width="10.19921875" style="324" customWidth="1"/>
    <col min="12555" max="12555" width="11.69921875" style="324" customWidth="1"/>
    <col min="12556" max="12556" width="15.69921875" style="324" customWidth="1"/>
    <col min="12557" max="12557" width="13.19921875" style="324" customWidth="1"/>
    <col min="12558" max="12558" width="10.3984375" style="324" customWidth="1"/>
    <col min="12559" max="12559" width="10.8984375" style="324" customWidth="1"/>
    <col min="12560" max="12560" width="11.59765625" style="324" customWidth="1"/>
    <col min="12561" max="12561" width="13.69921875" style="324" customWidth="1"/>
    <col min="12562" max="12800" width="8.19921875" style="324"/>
    <col min="12801" max="12801" width="5.69921875" style="324" bestFit="1" customWidth="1"/>
    <col min="12802" max="12802" width="34.69921875" style="324" customWidth="1"/>
    <col min="12803" max="12803" width="11.19921875" style="324" customWidth="1"/>
    <col min="12804" max="12804" width="0" style="324" hidden="1" customWidth="1"/>
    <col min="12805" max="12806" width="10.69921875" style="324" customWidth="1"/>
    <col min="12807" max="12807" width="15" style="324" customWidth="1"/>
    <col min="12808" max="12808" width="11.3984375" style="324" customWidth="1"/>
    <col min="12809" max="12809" width="0" style="324" hidden="1" customWidth="1"/>
    <col min="12810" max="12810" width="10.19921875" style="324" customWidth="1"/>
    <col min="12811" max="12811" width="11.69921875" style="324" customWidth="1"/>
    <col min="12812" max="12812" width="15.69921875" style="324" customWidth="1"/>
    <col min="12813" max="12813" width="13.19921875" style="324" customWidth="1"/>
    <col min="12814" max="12814" width="10.3984375" style="324" customWidth="1"/>
    <col min="12815" max="12815" width="10.8984375" style="324" customWidth="1"/>
    <col min="12816" max="12816" width="11.59765625" style="324" customWidth="1"/>
    <col min="12817" max="12817" width="13.69921875" style="324" customWidth="1"/>
    <col min="12818" max="13056" width="8.19921875" style="324"/>
    <col min="13057" max="13057" width="5.69921875" style="324" bestFit="1" customWidth="1"/>
    <col min="13058" max="13058" width="34.69921875" style="324" customWidth="1"/>
    <col min="13059" max="13059" width="11.19921875" style="324" customWidth="1"/>
    <col min="13060" max="13060" width="0" style="324" hidden="1" customWidth="1"/>
    <col min="13061" max="13062" width="10.69921875" style="324" customWidth="1"/>
    <col min="13063" max="13063" width="15" style="324" customWidth="1"/>
    <col min="13064" max="13064" width="11.3984375" style="324" customWidth="1"/>
    <col min="13065" max="13065" width="0" style="324" hidden="1" customWidth="1"/>
    <col min="13066" max="13066" width="10.19921875" style="324" customWidth="1"/>
    <col min="13067" max="13067" width="11.69921875" style="324" customWidth="1"/>
    <col min="13068" max="13068" width="15.69921875" style="324" customWidth="1"/>
    <col min="13069" max="13069" width="13.19921875" style="324" customWidth="1"/>
    <col min="13070" max="13070" width="10.3984375" style="324" customWidth="1"/>
    <col min="13071" max="13071" width="10.8984375" style="324" customWidth="1"/>
    <col min="13072" max="13072" width="11.59765625" style="324" customWidth="1"/>
    <col min="13073" max="13073" width="13.69921875" style="324" customWidth="1"/>
    <col min="13074" max="13312" width="8.19921875" style="324"/>
    <col min="13313" max="13313" width="5.69921875" style="324" bestFit="1" customWidth="1"/>
    <col min="13314" max="13314" width="34.69921875" style="324" customWidth="1"/>
    <col min="13315" max="13315" width="11.19921875" style="324" customWidth="1"/>
    <col min="13316" max="13316" width="0" style="324" hidden="1" customWidth="1"/>
    <col min="13317" max="13318" width="10.69921875" style="324" customWidth="1"/>
    <col min="13319" max="13319" width="15" style="324" customWidth="1"/>
    <col min="13320" max="13320" width="11.3984375" style="324" customWidth="1"/>
    <col min="13321" max="13321" width="0" style="324" hidden="1" customWidth="1"/>
    <col min="13322" max="13322" width="10.19921875" style="324" customWidth="1"/>
    <col min="13323" max="13323" width="11.69921875" style="324" customWidth="1"/>
    <col min="13324" max="13324" width="15.69921875" style="324" customWidth="1"/>
    <col min="13325" max="13325" width="13.19921875" style="324" customWidth="1"/>
    <col min="13326" max="13326" width="10.3984375" style="324" customWidth="1"/>
    <col min="13327" max="13327" width="10.8984375" style="324" customWidth="1"/>
    <col min="13328" max="13328" width="11.59765625" style="324" customWidth="1"/>
    <col min="13329" max="13329" width="13.69921875" style="324" customWidth="1"/>
    <col min="13330" max="13568" width="8.19921875" style="324"/>
    <col min="13569" max="13569" width="5.69921875" style="324" bestFit="1" customWidth="1"/>
    <col min="13570" max="13570" width="34.69921875" style="324" customWidth="1"/>
    <col min="13571" max="13571" width="11.19921875" style="324" customWidth="1"/>
    <col min="13572" max="13572" width="0" style="324" hidden="1" customWidth="1"/>
    <col min="13573" max="13574" width="10.69921875" style="324" customWidth="1"/>
    <col min="13575" max="13575" width="15" style="324" customWidth="1"/>
    <col min="13576" max="13576" width="11.3984375" style="324" customWidth="1"/>
    <col min="13577" max="13577" width="0" style="324" hidden="1" customWidth="1"/>
    <col min="13578" max="13578" width="10.19921875" style="324" customWidth="1"/>
    <col min="13579" max="13579" width="11.69921875" style="324" customWidth="1"/>
    <col min="13580" max="13580" width="15.69921875" style="324" customWidth="1"/>
    <col min="13581" max="13581" width="13.19921875" style="324" customWidth="1"/>
    <col min="13582" max="13582" width="10.3984375" style="324" customWidth="1"/>
    <col min="13583" max="13583" width="10.8984375" style="324" customWidth="1"/>
    <col min="13584" max="13584" width="11.59765625" style="324" customWidth="1"/>
    <col min="13585" max="13585" width="13.69921875" style="324" customWidth="1"/>
    <col min="13586" max="13824" width="8.19921875" style="324"/>
    <col min="13825" max="13825" width="5.69921875" style="324" bestFit="1" customWidth="1"/>
    <col min="13826" max="13826" width="34.69921875" style="324" customWidth="1"/>
    <col min="13827" max="13827" width="11.19921875" style="324" customWidth="1"/>
    <col min="13828" max="13828" width="0" style="324" hidden="1" customWidth="1"/>
    <col min="13829" max="13830" width="10.69921875" style="324" customWidth="1"/>
    <col min="13831" max="13831" width="15" style="324" customWidth="1"/>
    <col min="13832" max="13832" width="11.3984375" style="324" customWidth="1"/>
    <col min="13833" max="13833" width="0" style="324" hidden="1" customWidth="1"/>
    <col min="13834" max="13834" width="10.19921875" style="324" customWidth="1"/>
    <col min="13835" max="13835" width="11.69921875" style="324" customWidth="1"/>
    <col min="13836" max="13836" width="15.69921875" style="324" customWidth="1"/>
    <col min="13837" max="13837" width="13.19921875" style="324" customWidth="1"/>
    <col min="13838" max="13838" width="10.3984375" style="324" customWidth="1"/>
    <col min="13839" max="13839" width="10.8984375" style="324" customWidth="1"/>
    <col min="13840" max="13840" width="11.59765625" style="324" customWidth="1"/>
    <col min="13841" max="13841" width="13.69921875" style="324" customWidth="1"/>
    <col min="13842" max="14080" width="8.19921875" style="324"/>
    <col min="14081" max="14081" width="5.69921875" style="324" bestFit="1" customWidth="1"/>
    <col min="14082" max="14082" width="34.69921875" style="324" customWidth="1"/>
    <col min="14083" max="14083" width="11.19921875" style="324" customWidth="1"/>
    <col min="14084" max="14084" width="0" style="324" hidden="1" customWidth="1"/>
    <col min="14085" max="14086" width="10.69921875" style="324" customWidth="1"/>
    <col min="14087" max="14087" width="15" style="324" customWidth="1"/>
    <col min="14088" max="14088" width="11.3984375" style="324" customWidth="1"/>
    <col min="14089" max="14089" width="0" style="324" hidden="1" customWidth="1"/>
    <col min="14090" max="14090" width="10.19921875" style="324" customWidth="1"/>
    <col min="14091" max="14091" width="11.69921875" style="324" customWidth="1"/>
    <col min="14092" max="14092" width="15.69921875" style="324" customWidth="1"/>
    <col min="14093" max="14093" width="13.19921875" style="324" customWidth="1"/>
    <col min="14094" max="14094" width="10.3984375" style="324" customWidth="1"/>
    <col min="14095" max="14095" width="10.8984375" style="324" customWidth="1"/>
    <col min="14096" max="14096" width="11.59765625" style="324" customWidth="1"/>
    <col min="14097" max="14097" width="13.69921875" style="324" customWidth="1"/>
    <col min="14098" max="14336" width="8.19921875" style="324"/>
    <col min="14337" max="14337" width="5.69921875" style="324" bestFit="1" customWidth="1"/>
    <col min="14338" max="14338" width="34.69921875" style="324" customWidth="1"/>
    <col min="14339" max="14339" width="11.19921875" style="324" customWidth="1"/>
    <col min="14340" max="14340" width="0" style="324" hidden="1" customWidth="1"/>
    <col min="14341" max="14342" width="10.69921875" style="324" customWidth="1"/>
    <col min="14343" max="14343" width="15" style="324" customWidth="1"/>
    <col min="14344" max="14344" width="11.3984375" style="324" customWidth="1"/>
    <col min="14345" max="14345" width="0" style="324" hidden="1" customWidth="1"/>
    <col min="14346" max="14346" width="10.19921875" style="324" customWidth="1"/>
    <col min="14347" max="14347" width="11.69921875" style="324" customWidth="1"/>
    <col min="14348" max="14348" width="15.69921875" style="324" customWidth="1"/>
    <col min="14349" max="14349" width="13.19921875" style="324" customWidth="1"/>
    <col min="14350" max="14350" width="10.3984375" style="324" customWidth="1"/>
    <col min="14351" max="14351" width="10.8984375" style="324" customWidth="1"/>
    <col min="14352" max="14352" width="11.59765625" style="324" customWidth="1"/>
    <col min="14353" max="14353" width="13.69921875" style="324" customWidth="1"/>
    <col min="14354" max="14592" width="8.19921875" style="324"/>
    <col min="14593" max="14593" width="5.69921875" style="324" bestFit="1" customWidth="1"/>
    <col min="14594" max="14594" width="34.69921875" style="324" customWidth="1"/>
    <col min="14595" max="14595" width="11.19921875" style="324" customWidth="1"/>
    <col min="14596" max="14596" width="0" style="324" hidden="1" customWidth="1"/>
    <col min="14597" max="14598" width="10.69921875" style="324" customWidth="1"/>
    <col min="14599" max="14599" width="15" style="324" customWidth="1"/>
    <col min="14600" max="14600" width="11.3984375" style="324" customWidth="1"/>
    <col min="14601" max="14601" width="0" style="324" hidden="1" customWidth="1"/>
    <col min="14602" max="14602" width="10.19921875" style="324" customWidth="1"/>
    <col min="14603" max="14603" width="11.69921875" style="324" customWidth="1"/>
    <col min="14604" max="14604" width="15.69921875" style="324" customWidth="1"/>
    <col min="14605" max="14605" width="13.19921875" style="324" customWidth="1"/>
    <col min="14606" max="14606" width="10.3984375" style="324" customWidth="1"/>
    <col min="14607" max="14607" width="10.8984375" style="324" customWidth="1"/>
    <col min="14608" max="14608" width="11.59765625" style="324" customWidth="1"/>
    <col min="14609" max="14609" width="13.69921875" style="324" customWidth="1"/>
    <col min="14610" max="14848" width="8.19921875" style="324"/>
    <col min="14849" max="14849" width="5.69921875" style="324" bestFit="1" customWidth="1"/>
    <col min="14850" max="14850" width="34.69921875" style="324" customWidth="1"/>
    <col min="14851" max="14851" width="11.19921875" style="324" customWidth="1"/>
    <col min="14852" max="14852" width="0" style="324" hidden="1" customWidth="1"/>
    <col min="14853" max="14854" width="10.69921875" style="324" customWidth="1"/>
    <col min="14855" max="14855" width="15" style="324" customWidth="1"/>
    <col min="14856" max="14856" width="11.3984375" style="324" customWidth="1"/>
    <col min="14857" max="14857" width="0" style="324" hidden="1" customWidth="1"/>
    <col min="14858" max="14858" width="10.19921875" style="324" customWidth="1"/>
    <col min="14859" max="14859" width="11.69921875" style="324" customWidth="1"/>
    <col min="14860" max="14860" width="15.69921875" style="324" customWidth="1"/>
    <col min="14861" max="14861" width="13.19921875" style="324" customWidth="1"/>
    <col min="14862" max="14862" width="10.3984375" style="324" customWidth="1"/>
    <col min="14863" max="14863" width="10.8984375" style="324" customWidth="1"/>
    <col min="14864" max="14864" width="11.59765625" style="324" customWidth="1"/>
    <col min="14865" max="14865" width="13.69921875" style="324" customWidth="1"/>
    <col min="14866" max="15104" width="8.19921875" style="324"/>
    <col min="15105" max="15105" width="5.69921875" style="324" bestFit="1" customWidth="1"/>
    <col min="15106" max="15106" width="34.69921875" style="324" customWidth="1"/>
    <col min="15107" max="15107" width="11.19921875" style="324" customWidth="1"/>
    <col min="15108" max="15108" width="0" style="324" hidden="1" customWidth="1"/>
    <col min="15109" max="15110" width="10.69921875" style="324" customWidth="1"/>
    <col min="15111" max="15111" width="15" style="324" customWidth="1"/>
    <col min="15112" max="15112" width="11.3984375" style="324" customWidth="1"/>
    <col min="15113" max="15113" width="0" style="324" hidden="1" customWidth="1"/>
    <col min="15114" max="15114" width="10.19921875" style="324" customWidth="1"/>
    <col min="15115" max="15115" width="11.69921875" style="324" customWidth="1"/>
    <col min="15116" max="15116" width="15.69921875" style="324" customWidth="1"/>
    <col min="15117" max="15117" width="13.19921875" style="324" customWidth="1"/>
    <col min="15118" max="15118" width="10.3984375" style="324" customWidth="1"/>
    <col min="15119" max="15119" width="10.8984375" style="324" customWidth="1"/>
    <col min="15120" max="15120" width="11.59765625" style="324" customWidth="1"/>
    <col min="15121" max="15121" width="13.69921875" style="324" customWidth="1"/>
    <col min="15122" max="15360" width="8.19921875" style="324"/>
    <col min="15361" max="15361" width="5.69921875" style="324" bestFit="1" customWidth="1"/>
    <col min="15362" max="15362" width="34.69921875" style="324" customWidth="1"/>
    <col min="15363" max="15363" width="11.19921875" style="324" customWidth="1"/>
    <col min="15364" max="15364" width="0" style="324" hidden="1" customWidth="1"/>
    <col min="15365" max="15366" width="10.69921875" style="324" customWidth="1"/>
    <col min="15367" max="15367" width="15" style="324" customWidth="1"/>
    <col min="15368" max="15368" width="11.3984375" style="324" customWidth="1"/>
    <col min="15369" max="15369" width="0" style="324" hidden="1" customWidth="1"/>
    <col min="15370" max="15370" width="10.19921875" style="324" customWidth="1"/>
    <col min="15371" max="15371" width="11.69921875" style="324" customWidth="1"/>
    <col min="15372" max="15372" width="15.69921875" style="324" customWidth="1"/>
    <col min="15373" max="15373" width="13.19921875" style="324" customWidth="1"/>
    <col min="15374" max="15374" width="10.3984375" style="324" customWidth="1"/>
    <col min="15375" max="15375" width="10.8984375" style="324" customWidth="1"/>
    <col min="15376" max="15376" width="11.59765625" style="324" customWidth="1"/>
    <col min="15377" max="15377" width="13.69921875" style="324" customWidth="1"/>
    <col min="15378" max="15616" width="8.19921875" style="324"/>
    <col min="15617" max="15617" width="5.69921875" style="324" bestFit="1" customWidth="1"/>
    <col min="15618" max="15618" width="34.69921875" style="324" customWidth="1"/>
    <col min="15619" max="15619" width="11.19921875" style="324" customWidth="1"/>
    <col min="15620" max="15620" width="0" style="324" hidden="1" customWidth="1"/>
    <col min="15621" max="15622" width="10.69921875" style="324" customWidth="1"/>
    <col min="15623" max="15623" width="15" style="324" customWidth="1"/>
    <col min="15624" max="15624" width="11.3984375" style="324" customWidth="1"/>
    <col min="15625" max="15625" width="0" style="324" hidden="1" customWidth="1"/>
    <col min="15626" max="15626" width="10.19921875" style="324" customWidth="1"/>
    <col min="15627" max="15627" width="11.69921875" style="324" customWidth="1"/>
    <col min="15628" max="15628" width="15.69921875" style="324" customWidth="1"/>
    <col min="15629" max="15629" width="13.19921875" style="324" customWidth="1"/>
    <col min="15630" max="15630" width="10.3984375" style="324" customWidth="1"/>
    <col min="15631" max="15631" width="10.8984375" style="324" customWidth="1"/>
    <col min="15632" max="15632" width="11.59765625" style="324" customWidth="1"/>
    <col min="15633" max="15633" width="13.69921875" style="324" customWidth="1"/>
    <col min="15634" max="15872" width="8.19921875" style="324"/>
    <col min="15873" max="15873" width="5.69921875" style="324" bestFit="1" customWidth="1"/>
    <col min="15874" max="15874" width="34.69921875" style="324" customWidth="1"/>
    <col min="15875" max="15875" width="11.19921875" style="324" customWidth="1"/>
    <col min="15876" max="15876" width="0" style="324" hidden="1" customWidth="1"/>
    <col min="15877" max="15878" width="10.69921875" style="324" customWidth="1"/>
    <col min="15879" max="15879" width="15" style="324" customWidth="1"/>
    <col min="15880" max="15880" width="11.3984375" style="324" customWidth="1"/>
    <col min="15881" max="15881" width="0" style="324" hidden="1" customWidth="1"/>
    <col min="15882" max="15882" width="10.19921875" style="324" customWidth="1"/>
    <col min="15883" max="15883" width="11.69921875" style="324" customWidth="1"/>
    <col min="15884" max="15884" width="15.69921875" style="324" customWidth="1"/>
    <col min="15885" max="15885" width="13.19921875" style="324" customWidth="1"/>
    <col min="15886" max="15886" width="10.3984375" style="324" customWidth="1"/>
    <col min="15887" max="15887" width="10.8984375" style="324" customWidth="1"/>
    <col min="15888" max="15888" width="11.59765625" style="324" customWidth="1"/>
    <col min="15889" max="15889" width="13.69921875" style="324" customWidth="1"/>
    <col min="15890" max="16128" width="8.19921875" style="324"/>
    <col min="16129" max="16129" width="5.69921875" style="324" bestFit="1" customWidth="1"/>
    <col min="16130" max="16130" width="34.69921875" style="324" customWidth="1"/>
    <col min="16131" max="16131" width="11.19921875" style="324" customWidth="1"/>
    <col min="16132" max="16132" width="0" style="324" hidden="1" customWidth="1"/>
    <col min="16133" max="16134" width="10.69921875" style="324" customWidth="1"/>
    <col min="16135" max="16135" width="15" style="324" customWidth="1"/>
    <col min="16136" max="16136" width="11.3984375" style="324" customWidth="1"/>
    <col min="16137" max="16137" width="0" style="324" hidden="1" customWidth="1"/>
    <col min="16138" max="16138" width="10.19921875" style="324" customWidth="1"/>
    <col min="16139" max="16139" width="11.69921875" style="324" customWidth="1"/>
    <col min="16140" max="16140" width="15.69921875" style="324" customWidth="1"/>
    <col min="16141" max="16141" width="13.19921875" style="324" customWidth="1"/>
    <col min="16142" max="16142" width="10.3984375" style="324" customWidth="1"/>
    <col min="16143" max="16143" width="10.8984375" style="324" customWidth="1"/>
    <col min="16144" max="16144" width="11.59765625" style="324" customWidth="1"/>
    <col min="16145" max="16145" width="13.69921875" style="324" customWidth="1"/>
    <col min="16146" max="16384" width="8.19921875" style="324"/>
  </cols>
  <sheetData>
    <row r="1" spans="1:17" x14ac:dyDescent="0.25">
      <c r="A1" s="322"/>
      <c r="B1" s="322"/>
      <c r="C1" s="322"/>
      <c r="D1" s="322"/>
      <c r="E1" s="322"/>
      <c r="F1" s="323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 t="s">
        <v>498</v>
      </c>
    </row>
    <row r="2" spans="1:17" ht="12.75" x14ac:dyDescent="0.2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17" ht="15.6" x14ac:dyDescent="0.25">
      <c r="A3" s="432" t="s">
        <v>39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</row>
    <row r="4" spans="1:17" ht="12.75" x14ac:dyDescent="0.2">
      <c r="A4" s="325"/>
      <c r="B4" s="325"/>
      <c r="C4" s="325"/>
      <c r="D4" s="325"/>
      <c r="E4" s="325"/>
      <c r="F4" s="325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</row>
    <row r="5" spans="1:17" s="328" customFormat="1" ht="13.8" thickBot="1" x14ac:dyDescent="0.3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7" t="s">
        <v>0</v>
      </c>
    </row>
    <row r="6" spans="1:17" s="328" customFormat="1" ht="13.5" customHeight="1" thickTop="1" x14ac:dyDescent="0.25">
      <c r="A6" s="433" t="s">
        <v>1</v>
      </c>
      <c r="B6" s="435" t="s">
        <v>37</v>
      </c>
      <c r="C6" s="437" t="s">
        <v>2</v>
      </c>
      <c r="D6" s="429"/>
      <c r="E6" s="429"/>
      <c r="F6" s="438"/>
      <c r="G6" s="439" t="s">
        <v>3</v>
      </c>
      <c r="H6" s="437" t="s">
        <v>35</v>
      </c>
      <c r="I6" s="429"/>
      <c r="J6" s="429"/>
      <c r="K6" s="429"/>
      <c r="L6" s="427" t="s">
        <v>3</v>
      </c>
      <c r="M6" s="429" t="s">
        <v>36</v>
      </c>
      <c r="N6" s="429"/>
      <c r="O6" s="429"/>
      <c r="P6" s="429"/>
      <c r="Q6" s="430" t="s">
        <v>3</v>
      </c>
    </row>
    <row r="7" spans="1:17" s="328" customFormat="1" ht="79.2" x14ac:dyDescent="0.25">
      <c r="A7" s="434"/>
      <c r="B7" s="436"/>
      <c r="C7" s="317" t="s">
        <v>4</v>
      </c>
      <c r="D7" s="317" t="s">
        <v>5</v>
      </c>
      <c r="E7" s="317" t="s">
        <v>6</v>
      </c>
      <c r="F7" s="317" t="s">
        <v>7</v>
      </c>
      <c r="G7" s="440"/>
      <c r="H7" s="317" t="s">
        <v>8</v>
      </c>
      <c r="I7" s="317" t="s">
        <v>9</v>
      </c>
      <c r="J7" s="317" t="s">
        <v>448</v>
      </c>
      <c r="K7" s="1" t="s">
        <v>38</v>
      </c>
      <c r="L7" s="428"/>
      <c r="M7" s="6" t="s">
        <v>40</v>
      </c>
      <c r="N7" s="317" t="s">
        <v>10</v>
      </c>
      <c r="O7" s="317" t="s">
        <v>447</v>
      </c>
      <c r="P7" s="1" t="s">
        <v>38</v>
      </c>
      <c r="Q7" s="431"/>
    </row>
    <row r="8" spans="1:17" s="326" customFormat="1" ht="12.75" x14ac:dyDescent="0.2">
      <c r="A8" s="346"/>
      <c r="B8" s="318"/>
      <c r="C8" s="317"/>
      <c r="D8" s="317"/>
      <c r="E8" s="317"/>
      <c r="F8" s="317"/>
      <c r="G8" s="6"/>
      <c r="H8" s="317"/>
      <c r="I8" s="317"/>
      <c r="J8" s="317"/>
      <c r="K8" s="1"/>
      <c r="L8" s="347"/>
      <c r="M8" s="6"/>
      <c r="N8" s="317"/>
      <c r="O8" s="317"/>
      <c r="P8" s="1"/>
      <c r="Q8" s="348"/>
    </row>
    <row r="9" spans="1:17" s="328" customFormat="1" ht="26.4" x14ac:dyDescent="0.25">
      <c r="A9" s="2">
        <v>1</v>
      </c>
      <c r="B9" s="329" t="s">
        <v>11</v>
      </c>
      <c r="C9" s="330">
        <f>10875121.60815/1000</f>
        <v>10875.121608150001</v>
      </c>
      <c r="D9" s="330"/>
      <c r="E9" s="330">
        <f>10809219.82711/1000</f>
        <v>10809.219827110001</v>
      </c>
      <c r="F9" s="330">
        <f>E9/C9*100</f>
        <v>99.394013387486055</v>
      </c>
      <c r="G9" s="331">
        <v>97.6</v>
      </c>
      <c r="H9" s="330">
        <v>12433.2</v>
      </c>
      <c r="I9" s="330"/>
      <c r="J9" s="330">
        <v>12135</v>
      </c>
      <c r="K9" s="332">
        <f>J9/H9*100</f>
        <v>97.601582858797414</v>
      </c>
      <c r="L9" s="333">
        <v>93.8</v>
      </c>
      <c r="M9" s="331">
        <v>13170.880999999999</v>
      </c>
      <c r="N9" s="330">
        <v>13170.4133</v>
      </c>
      <c r="O9" s="330">
        <v>13139.640799999999</v>
      </c>
      <c r="P9" s="332">
        <f>O9/M9*100</f>
        <v>99.76280857749758</v>
      </c>
      <c r="Q9" s="334">
        <v>97.1</v>
      </c>
    </row>
    <row r="10" spans="1:17" s="328" customFormat="1" ht="26.4" x14ac:dyDescent="0.25">
      <c r="A10" s="2">
        <v>2</v>
      </c>
      <c r="B10" s="329" t="s">
        <v>12</v>
      </c>
      <c r="C10" s="330">
        <f>17056026.28429/1000</f>
        <v>17056.026284290001</v>
      </c>
      <c r="D10" s="330"/>
      <c r="E10" s="330">
        <f>17039442.06147/1000</f>
        <v>17039.442061469999</v>
      </c>
      <c r="F10" s="330">
        <f>E10/C10*100</f>
        <v>99.902766198037128</v>
      </c>
      <c r="G10" s="331">
        <v>98.2</v>
      </c>
      <c r="H10" s="330">
        <v>19823.2</v>
      </c>
      <c r="I10" s="330"/>
      <c r="J10" s="330">
        <v>19701.599999999999</v>
      </c>
      <c r="K10" s="332">
        <f t="shared" ref="K10:K30" si="0">J10/H10*100</f>
        <v>99.386577343718457</v>
      </c>
      <c r="L10" s="333">
        <v>91.2</v>
      </c>
      <c r="M10" s="331">
        <v>18451.489099999999</v>
      </c>
      <c r="N10" s="330">
        <v>18320.534899999999</v>
      </c>
      <c r="O10" s="330">
        <v>18301.683199999999</v>
      </c>
      <c r="P10" s="332">
        <f t="shared" ref="P10:P30" si="1">O10/M10*100</f>
        <v>99.188109430148913</v>
      </c>
      <c r="Q10" s="334">
        <v>95.2</v>
      </c>
    </row>
    <row r="11" spans="1:17" s="328" customFormat="1" ht="26.4" x14ac:dyDescent="0.25">
      <c r="A11" s="2">
        <v>3</v>
      </c>
      <c r="B11" s="329" t="s">
        <v>13</v>
      </c>
      <c r="C11" s="330">
        <f>10608396.79878/1000</f>
        <v>10608.396798780001</v>
      </c>
      <c r="D11" s="330"/>
      <c r="E11" s="330">
        <f>10020177.39105/1000</f>
        <v>10020.17739105</v>
      </c>
      <c r="F11" s="330">
        <f>E11/C11*100</f>
        <v>94.455152659847258</v>
      </c>
      <c r="G11" s="331">
        <v>96.6</v>
      </c>
      <c r="H11" s="330">
        <v>10473</v>
      </c>
      <c r="I11" s="330"/>
      <c r="J11" s="330">
        <v>10377.799999999999</v>
      </c>
      <c r="K11" s="332">
        <f t="shared" si="0"/>
        <v>99.090995894204141</v>
      </c>
      <c r="L11" s="333">
        <v>97.3</v>
      </c>
      <c r="M11" s="331">
        <v>10277.4193</v>
      </c>
      <c r="N11" s="330">
        <v>10034.403700000001</v>
      </c>
      <c r="O11" s="330">
        <v>10007.154500000001</v>
      </c>
      <c r="P11" s="332">
        <f t="shared" si="1"/>
        <v>97.370304819615569</v>
      </c>
      <c r="Q11" s="334">
        <v>92</v>
      </c>
    </row>
    <row r="12" spans="1:17" s="328" customFormat="1" ht="26.4" x14ac:dyDescent="0.25">
      <c r="A12" s="2">
        <v>4</v>
      </c>
      <c r="B12" s="329" t="s">
        <v>14</v>
      </c>
      <c r="C12" s="330">
        <f>1410421.1/1000</f>
        <v>1410.4211</v>
      </c>
      <c r="D12" s="330"/>
      <c r="E12" s="330">
        <f>1395780.43622/1000</f>
        <v>1395.78043622</v>
      </c>
      <c r="F12" s="330">
        <f>E12/C12*100</f>
        <v>98.96196506277451</v>
      </c>
      <c r="G12" s="331">
        <v>93.7</v>
      </c>
      <c r="H12" s="330">
        <v>785.4</v>
      </c>
      <c r="I12" s="330"/>
      <c r="J12" s="330">
        <v>755.1</v>
      </c>
      <c r="K12" s="332">
        <f t="shared" si="0"/>
        <v>96.142093200916733</v>
      </c>
      <c r="L12" s="333">
        <v>94.5</v>
      </c>
      <c r="M12" s="331">
        <v>850.04430000000002</v>
      </c>
      <c r="N12" s="330">
        <v>837.31359999999995</v>
      </c>
      <c r="O12" s="330">
        <v>837.22910000000002</v>
      </c>
      <c r="P12" s="332">
        <f t="shared" si="1"/>
        <v>98.49240798391331</v>
      </c>
      <c r="Q12" s="334">
        <v>95.8</v>
      </c>
    </row>
    <row r="13" spans="1:17" s="328" customFormat="1" ht="66" x14ac:dyDescent="0.25">
      <c r="A13" s="2">
        <v>5</v>
      </c>
      <c r="B13" s="329" t="s">
        <v>15</v>
      </c>
      <c r="C13" s="330">
        <f>1695774.855/1000</f>
        <v>1695.7748549999999</v>
      </c>
      <c r="D13" s="330"/>
      <c r="E13" s="330">
        <f>1691601.0572/1000</f>
        <v>1691.6010572</v>
      </c>
      <c r="F13" s="330">
        <f>E13/C13*100</f>
        <v>99.753870757801749</v>
      </c>
      <c r="G13" s="331">
        <v>86.6</v>
      </c>
      <c r="H13" s="330">
        <v>1677.6</v>
      </c>
      <c r="I13" s="330"/>
      <c r="J13" s="330">
        <v>1668.3</v>
      </c>
      <c r="K13" s="332">
        <f t="shared" si="0"/>
        <v>99.445636623748214</v>
      </c>
      <c r="L13" s="335">
        <v>89.4</v>
      </c>
      <c r="M13" s="331">
        <v>1175.9075</v>
      </c>
      <c r="N13" s="330">
        <v>1143.0554</v>
      </c>
      <c r="O13" s="330">
        <v>1139.4395999999999</v>
      </c>
      <c r="P13" s="332">
        <f t="shared" si="1"/>
        <v>96.898744161424261</v>
      </c>
      <c r="Q13" s="334">
        <v>80.7</v>
      </c>
    </row>
    <row r="14" spans="1:17" s="328" customFormat="1" ht="52.8" x14ac:dyDescent="0.25">
      <c r="A14" s="2">
        <v>6</v>
      </c>
      <c r="B14" s="336" t="s">
        <v>16</v>
      </c>
      <c r="C14" s="330">
        <v>0</v>
      </c>
      <c r="D14" s="330">
        <v>0</v>
      </c>
      <c r="E14" s="330">
        <v>0</v>
      </c>
      <c r="F14" s="330">
        <v>0</v>
      </c>
      <c r="G14" s="330">
        <v>0</v>
      </c>
      <c r="H14" s="330">
        <v>537.9</v>
      </c>
      <c r="I14" s="330"/>
      <c r="J14" s="330">
        <v>496.3</v>
      </c>
      <c r="K14" s="332">
        <f t="shared" si="0"/>
        <v>92.26622048707938</v>
      </c>
      <c r="L14" s="335">
        <v>80</v>
      </c>
      <c r="M14" s="331">
        <v>502.11020000000002</v>
      </c>
      <c r="N14" s="330">
        <v>485.1198</v>
      </c>
      <c r="O14" s="330">
        <v>409.57929999999999</v>
      </c>
      <c r="P14" s="332">
        <f t="shared" si="1"/>
        <v>81.571595239451412</v>
      </c>
      <c r="Q14" s="334">
        <v>82.3</v>
      </c>
    </row>
    <row r="15" spans="1:17" s="328" customFormat="1" ht="38.4" customHeight="1" x14ac:dyDescent="0.25">
      <c r="A15" s="2">
        <v>7</v>
      </c>
      <c r="B15" s="336" t="s">
        <v>17</v>
      </c>
      <c r="C15" s="330">
        <v>0</v>
      </c>
      <c r="D15" s="330">
        <v>0</v>
      </c>
      <c r="E15" s="330">
        <v>0</v>
      </c>
      <c r="F15" s="330">
        <v>0</v>
      </c>
      <c r="G15" s="330">
        <v>0</v>
      </c>
      <c r="H15" s="330">
        <v>858.8</v>
      </c>
      <c r="I15" s="330"/>
      <c r="J15" s="330">
        <v>839.2</v>
      </c>
      <c r="K15" s="332">
        <f t="shared" si="0"/>
        <v>97.717745691662799</v>
      </c>
      <c r="L15" s="333">
        <v>92.4</v>
      </c>
      <c r="M15" s="331">
        <v>931.28499999999997</v>
      </c>
      <c r="N15" s="330">
        <v>886.33209999999997</v>
      </c>
      <c r="O15" s="330">
        <v>879.66</v>
      </c>
      <c r="P15" s="332">
        <f t="shared" si="1"/>
        <v>94.456584182071012</v>
      </c>
      <c r="Q15" s="349">
        <v>77.400000000000006</v>
      </c>
    </row>
    <row r="16" spans="1:17" s="328" customFormat="1" ht="79.2" x14ac:dyDescent="0.25">
      <c r="A16" s="2">
        <v>8</v>
      </c>
      <c r="B16" s="336" t="s">
        <v>18</v>
      </c>
      <c r="C16" s="330">
        <v>0</v>
      </c>
      <c r="D16" s="330">
        <v>0</v>
      </c>
      <c r="E16" s="330">
        <v>0</v>
      </c>
      <c r="F16" s="330">
        <v>0</v>
      </c>
      <c r="G16" s="330">
        <v>0</v>
      </c>
      <c r="H16" s="330">
        <v>53.8</v>
      </c>
      <c r="I16" s="330"/>
      <c r="J16" s="330">
        <v>53.2</v>
      </c>
      <c r="K16" s="332">
        <f t="shared" si="0"/>
        <v>98.884758364312276</v>
      </c>
      <c r="L16" s="333">
        <v>93.6</v>
      </c>
      <c r="M16" s="331">
        <v>66.7744</v>
      </c>
      <c r="N16" s="330">
        <v>60.774299999999997</v>
      </c>
      <c r="O16" s="330">
        <v>60.749899999999997</v>
      </c>
      <c r="P16" s="332">
        <f t="shared" si="1"/>
        <v>90.977829826999567</v>
      </c>
      <c r="Q16" s="334">
        <v>92.6</v>
      </c>
    </row>
    <row r="17" spans="1:17" s="328" customFormat="1" ht="66" x14ac:dyDescent="0.25">
      <c r="A17" s="3">
        <v>9</v>
      </c>
      <c r="B17" s="4" t="s">
        <v>19</v>
      </c>
      <c r="C17" s="330">
        <v>0</v>
      </c>
      <c r="D17" s="330">
        <v>0</v>
      </c>
      <c r="E17" s="330">
        <v>0</v>
      </c>
      <c r="F17" s="330">
        <v>0</v>
      </c>
      <c r="G17" s="330">
        <v>0</v>
      </c>
      <c r="H17" s="330">
        <v>1082.5999999999999</v>
      </c>
      <c r="I17" s="330"/>
      <c r="J17" s="330">
        <v>1080.5999999999999</v>
      </c>
      <c r="K17" s="332">
        <f t="shared" si="0"/>
        <v>99.815259560317742</v>
      </c>
      <c r="L17" s="333">
        <v>96.7</v>
      </c>
      <c r="M17" s="331">
        <v>1143.037</v>
      </c>
      <c r="N17" s="330">
        <v>1143.0219999999999</v>
      </c>
      <c r="O17" s="330">
        <v>1143.0184999999999</v>
      </c>
      <c r="P17" s="332">
        <f t="shared" si="1"/>
        <v>99.998381504710693</v>
      </c>
      <c r="Q17" s="334">
        <v>94.6</v>
      </c>
    </row>
    <row r="18" spans="1:17" s="328" customFormat="1" ht="52.8" x14ac:dyDescent="0.25">
      <c r="A18" s="3">
        <v>10</v>
      </c>
      <c r="B18" s="4" t="s">
        <v>20</v>
      </c>
      <c r="C18" s="330">
        <v>0</v>
      </c>
      <c r="D18" s="330">
        <v>0</v>
      </c>
      <c r="E18" s="330">
        <v>0</v>
      </c>
      <c r="F18" s="330">
        <v>0</v>
      </c>
      <c r="G18" s="330">
        <v>0</v>
      </c>
      <c r="H18" s="330">
        <v>243.1</v>
      </c>
      <c r="I18" s="330"/>
      <c r="J18" s="330">
        <v>216.7</v>
      </c>
      <c r="K18" s="332">
        <f t="shared" si="0"/>
        <v>89.140271493212666</v>
      </c>
      <c r="L18" s="333">
        <v>67.900000000000006</v>
      </c>
      <c r="M18" s="331">
        <v>144.6095</v>
      </c>
      <c r="N18" s="330">
        <v>134.94649999999999</v>
      </c>
      <c r="O18" s="330">
        <v>132.7997</v>
      </c>
      <c r="P18" s="332">
        <f t="shared" si="1"/>
        <v>91.833316621660416</v>
      </c>
      <c r="Q18" s="334">
        <v>88.2</v>
      </c>
    </row>
    <row r="19" spans="1:17" s="328" customFormat="1" ht="66" x14ac:dyDescent="0.25">
      <c r="A19" s="3">
        <v>11</v>
      </c>
      <c r="B19" s="4" t="s">
        <v>21</v>
      </c>
      <c r="C19" s="330">
        <v>0</v>
      </c>
      <c r="D19" s="330">
        <v>0</v>
      </c>
      <c r="E19" s="330">
        <v>0</v>
      </c>
      <c r="F19" s="330">
        <v>0</v>
      </c>
      <c r="G19" s="330">
        <v>0</v>
      </c>
      <c r="H19" s="330">
        <v>987.8</v>
      </c>
      <c r="I19" s="330"/>
      <c r="J19" s="330">
        <v>984.4</v>
      </c>
      <c r="K19" s="332">
        <f t="shared" si="0"/>
        <v>99.655800769386516</v>
      </c>
      <c r="L19" s="333">
        <v>95.8</v>
      </c>
      <c r="M19" s="331">
        <v>850.58579999999995</v>
      </c>
      <c r="N19" s="330">
        <v>776.67679999999996</v>
      </c>
      <c r="O19" s="330">
        <v>763.40359999999998</v>
      </c>
      <c r="P19" s="332">
        <f t="shared" si="1"/>
        <v>89.750334416586782</v>
      </c>
      <c r="Q19" s="334">
        <v>93.5</v>
      </c>
    </row>
    <row r="20" spans="1:17" s="328" customFormat="1" ht="39.6" x14ac:dyDescent="0.25">
      <c r="A20" s="3">
        <v>12</v>
      </c>
      <c r="B20" s="4" t="s">
        <v>22</v>
      </c>
      <c r="C20" s="330">
        <v>0</v>
      </c>
      <c r="D20" s="330">
        <v>0</v>
      </c>
      <c r="E20" s="330">
        <v>0</v>
      </c>
      <c r="F20" s="330">
        <v>0</v>
      </c>
      <c r="G20" s="330">
        <v>0</v>
      </c>
      <c r="H20" s="330">
        <v>445.7</v>
      </c>
      <c r="I20" s="330"/>
      <c r="J20" s="330">
        <v>432.8</v>
      </c>
      <c r="K20" s="332">
        <f t="shared" si="0"/>
        <v>97.105676463989226</v>
      </c>
      <c r="L20" s="333">
        <v>89.9</v>
      </c>
      <c r="M20" s="331">
        <v>464.49520000000001</v>
      </c>
      <c r="N20" s="330">
        <v>461.98520000000002</v>
      </c>
      <c r="O20" s="330">
        <v>457.29500000000002</v>
      </c>
      <c r="P20" s="332">
        <f t="shared" si="1"/>
        <v>98.449887103246709</v>
      </c>
      <c r="Q20" s="334">
        <v>93.9</v>
      </c>
    </row>
    <row r="21" spans="1:17" s="328" customFormat="1" ht="26.4" x14ac:dyDescent="0.25">
      <c r="A21" s="3">
        <v>13</v>
      </c>
      <c r="B21" s="4" t="s">
        <v>23</v>
      </c>
      <c r="C21" s="330">
        <v>0</v>
      </c>
      <c r="D21" s="330">
        <v>0</v>
      </c>
      <c r="E21" s="330">
        <v>0</v>
      </c>
      <c r="F21" s="330">
        <v>0</v>
      </c>
      <c r="G21" s="330">
        <v>0</v>
      </c>
      <c r="H21" s="330">
        <v>3.5</v>
      </c>
      <c r="I21" s="330"/>
      <c r="J21" s="330">
        <v>2.7</v>
      </c>
      <c r="K21" s="332">
        <f t="shared" si="0"/>
        <v>77.142857142857153</v>
      </c>
      <c r="L21" s="333">
        <v>90.2</v>
      </c>
      <c r="M21" s="331">
        <v>3.1389999999999998</v>
      </c>
      <c r="N21" s="330">
        <v>2.6576</v>
      </c>
      <c r="O21" s="330">
        <v>2.6576</v>
      </c>
      <c r="P21" s="332">
        <f t="shared" si="1"/>
        <v>84.663905702453008</v>
      </c>
      <c r="Q21" s="334">
        <v>89.4</v>
      </c>
    </row>
    <row r="22" spans="1:17" s="328" customFormat="1" ht="26.4" x14ac:dyDescent="0.25">
      <c r="A22" s="3">
        <v>14</v>
      </c>
      <c r="B22" s="4" t="s">
        <v>24</v>
      </c>
      <c r="C22" s="330">
        <v>0</v>
      </c>
      <c r="D22" s="330">
        <v>0</v>
      </c>
      <c r="E22" s="330">
        <v>0</v>
      </c>
      <c r="F22" s="330">
        <v>0</v>
      </c>
      <c r="G22" s="330">
        <v>0</v>
      </c>
      <c r="H22" s="330">
        <v>915.6</v>
      </c>
      <c r="I22" s="330"/>
      <c r="J22" s="330">
        <v>898.5</v>
      </c>
      <c r="K22" s="332">
        <f t="shared" si="0"/>
        <v>98.132372214941029</v>
      </c>
      <c r="L22" s="333">
        <v>80.400000000000006</v>
      </c>
      <c r="M22" s="331">
        <v>906.9144</v>
      </c>
      <c r="N22" s="330">
        <v>906.62940000000003</v>
      </c>
      <c r="O22" s="330">
        <v>894.75549999999998</v>
      </c>
      <c r="P22" s="332">
        <f t="shared" si="1"/>
        <v>98.659311176446195</v>
      </c>
      <c r="Q22" s="334">
        <v>85.1</v>
      </c>
    </row>
    <row r="23" spans="1:17" s="328" customFormat="1" ht="39.6" x14ac:dyDescent="0.25">
      <c r="A23" s="3">
        <v>15</v>
      </c>
      <c r="B23" s="4" t="s">
        <v>25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3218.9</v>
      </c>
      <c r="I23" s="330"/>
      <c r="J23" s="330">
        <v>3182.2</v>
      </c>
      <c r="K23" s="332">
        <f t="shared" si="0"/>
        <v>98.859858958029136</v>
      </c>
      <c r="L23" s="333">
        <v>80.5</v>
      </c>
      <c r="M23" s="331">
        <v>3084.9600999999998</v>
      </c>
      <c r="N23" s="330">
        <v>3065.2406000000001</v>
      </c>
      <c r="O23" s="330">
        <v>3054.4697999999999</v>
      </c>
      <c r="P23" s="332">
        <f t="shared" si="1"/>
        <v>99.011646860521793</v>
      </c>
      <c r="Q23" s="334">
        <v>85</v>
      </c>
    </row>
    <row r="24" spans="1:17" s="328" customFormat="1" ht="66" x14ac:dyDescent="0.25">
      <c r="A24" s="3">
        <v>16</v>
      </c>
      <c r="B24" s="4" t="s">
        <v>26</v>
      </c>
      <c r="C24" s="330">
        <v>0</v>
      </c>
      <c r="D24" s="330">
        <v>0</v>
      </c>
      <c r="E24" s="330">
        <v>0</v>
      </c>
      <c r="F24" s="330">
        <v>0</v>
      </c>
      <c r="G24" s="330">
        <v>0</v>
      </c>
      <c r="H24" s="330">
        <v>83.4</v>
      </c>
      <c r="I24" s="330"/>
      <c r="J24" s="330">
        <v>81</v>
      </c>
      <c r="K24" s="332">
        <f t="shared" si="0"/>
        <v>97.122302158273371</v>
      </c>
      <c r="L24" s="333">
        <v>94.1</v>
      </c>
      <c r="M24" s="331">
        <v>88.594399999999993</v>
      </c>
      <c r="N24" s="330">
        <v>87.976900000000001</v>
      </c>
      <c r="O24" s="330">
        <v>81.4542</v>
      </c>
      <c r="P24" s="332">
        <f t="shared" si="1"/>
        <v>91.940574122066408</v>
      </c>
      <c r="Q24" s="334">
        <v>97.6</v>
      </c>
    </row>
    <row r="25" spans="1:17" s="328" customFormat="1" ht="26.4" x14ac:dyDescent="0.25">
      <c r="A25" s="3">
        <v>17</v>
      </c>
      <c r="B25" s="4" t="s">
        <v>27</v>
      </c>
      <c r="C25" s="330">
        <v>0</v>
      </c>
      <c r="D25" s="330">
        <v>0</v>
      </c>
      <c r="E25" s="330">
        <v>0</v>
      </c>
      <c r="F25" s="330">
        <v>0</v>
      </c>
      <c r="G25" s="330">
        <v>0</v>
      </c>
      <c r="H25" s="330">
        <v>4597.1000000000004</v>
      </c>
      <c r="I25" s="330"/>
      <c r="J25" s="330">
        <v>4272</v>
      </c>
      <c r="K25" s="332">
        <f t="shared" si="0"/>
        <v>92.928150355659</v>
      </c>
      <c r="L25" s="333">
        <v>92.4</v>
      </c>
      <c r="M25" s="331">
        <v>4978.6088</v>
      </c>
      <c r="N25" s="330">
        <v>4903.6403</v>
      </c>
      <c r="O25" s="330">
        <v>4894.067</v>
      </c>
      <c r="P25" s="332">
        <f t="shared" si="1"/>
        <v>98.301899116877792</v>
      </c>
      <c r="Q25" s="334">
        <v>91.3</v>
      </c>
    </row>
    <row r="26" spans="1:17" s="328" customFormat="1" ht="26.4" x14ac:dyDescent="0.25">
      <c r="A26" s="3">
        <v>18</v>
      </c>
      <c r="B26" s="4" t="s">
        <v>28</v>
      </c>
      <c r="C26" s="330">
        <v>0</v>
      </c>
      <c r="D26" s="330">
        <v>0</v>
      </c>
      <c r="E26" s="330">
        <v>0</v>
      </c>
      <c r="F26" s="330">
        <v>0</v>
      </c>
      <c r="G26" s="330">
        <v>0</v>
      </c>
      <c r="H26" s="330">
        <v>92.7</v>
      </c>
      <c r="I26" s="330"/>
      <c r="J26" s="330">
        <v>47.3</v>
      </c>
      <c r="K26" s="332">
        <f t="shared" si="0"/>
        <v>51.024811218985974</v>
      </c>
      <c r="L26" s="333">
        <v>68.400000000000006</v>
      </c>
      <c r="M26" s="331">
        <v>575.30319999999995</v>
      </c>
      <c r="N26" s="330">
        <v>381.4477</v>
      </c>
      <c r="O26" s="330">
        <v>381.26400000000001</v>
      </c>
      <c r="P26" s="332">
        <f t="shared" si="1"/>
        <v>66.271837180811801</v>
      </c>
      <c r="Q26" s="349">
        <v>77.8</v>
      </c>
    </row>
    <row r="27" spans="1:17" s="328" customFormat="1" ht="39.6" x14ac:dyDescent="0.25">
      <c r="A27" s="3">
        <v>19</v>
      </c>
      <c r="B27" s="4" t="s">
        <v>29</v>
      </c>
      <c r="C27" s="330">
        <v>0</v>
      </c>
      <c r="D27" s="330">
        <v>0</v>
      </c>
      <c r="E27" s="330">
        <v>0</v>
      </c>
      <c r="F27" s="330">
        <v>0</v>
      </c>
      <c r="G27" s="330">
        <v>0</v>
      </c>
      <c r="H27" s="330">
        <v>58.5</v>
      </c>
      <c r="I27" s="330"/>
      <c r="J27" s="330">
        <v>57.3</v>
      </c>
      <c r="K27" s="332">
        <f t="shared" si="0"/>
        <v>97.948717948717942</v>
      </c>
      <c r="L27" s="333">
        <v>96.5</v>
      </c>
      <c r="M27" s="331">
        <v>54.448999999999998</v>
      </c>
      <c r="N27" s="330">
        <v>54.448999999999998</v>
      </c>
      <c r="O27" s="330">
        <v>54.190899999999999</v>
      </c>
      <c r="P27" s="332">
        <f t="shared" si="1"/>
        <v>99.525978438538814</v>
      </c>
      <c r="Q27" s="349">
        <v>99.6</v>
      </c>
    </row>
    <row r="28" spans="1:17" s="328" customFormat="1" ht="39.6" x14ac:dyDescent="0.25">
      <c r="A28" s="3">
        <v>20</v>
      </c>
      <c r="B28" s="4" t="s">
        <v>30</v>
      </c>
      <c r="C28" s="330">
        <v>0</v>
      </c>
      <c r="D28" s="330">
        <v>0</v>
      </c>
      <c r="E28" s="330">
        <v>0</v>
      </c>
      <c r="F28" s="330">
        <v>0</v>
      </c>
      <c r="G28" s="330">
        <v>0</v>
      </c>
      <c r="H28" s="330">
        <v>6054.3</v>
      </c>
      <c r="I28" s="330"/>
      <c r="J28" s="330">
        <v>6006</v>
      </c>
      <c r="K28" s="332">
        <f t="shared" si="0"/>
        <v>99.202219909816165</v>
      </c>
      <c r="L28" s="333">
        <v>99.5</v>
      </c>
      <c r="M28" s="331">
        <v>4943.4134000000004</v>
      </c>
      <c r="N28" s="330">
        <v>4816.7578999999996</v>
      </c>
      <c r="O28" s="330">
        <v>4815.4683000000005</v>
      </c>
      <c r="P28" s="332">
        <f t="shared" si="1"/>
        <v>97.41180658692231</v>
      </c>
      <c r="Q28" s="334">
        <v>97</v>
      </c>
    </row>
    <row r="29" spans="1:17" s="328" customFormat="1" ht="39.6" x14ac:dyDescent="0.25">
      <c r="A29" s="3">
        <v>21</v>
      </c>
      <c r="B29" s="4" t="s">
        <v>31</v>
      </c>
      <c r="C29" s="330">
        <v>0</v>
      </c>
      <c r="D29" s="330">
        <v>0</v>
      </c>
      <c r="E29" s="330">
        <v>0</v>
      </c>
      <c r="F29" s="330">
        <v>0</v>
      </c>
      <c r="G29" s="330">
        <v>0</v>
      </c>
      <c r="H29" s="330">
        <v>1234.7</v>
      </c>
      <c r="I29" s="337"/>
      <c r="J29" s="330">
        <v>1205.2</v>
      </c>
      <c r="K29" s="332">
        <f t="shared" si="0"/>
        <v>97.610755649145545</v>
      </c>
      <c r="L29" s="333">
        <v>93.7</v>
      </c>
      <c r="M29" s="331">
        <v>1413.1262999999999</v>
      </c>
      <c r="N29" s="337">
        <v>1407.1180999999999</v>
      </c>
      <c r="O29" s="330">
        <v>1404.0587</v>
      </c>
      <c r="P29" s="332">
        <f t="shared" si="1"/>
        <v>99.358330532805184</v>
      </c>
      <c r="Q29" s="334">
        <v>94.8</v>
      </c>
    </row>
    <row r="30" spans="1:17" s="328" customFormat="1" ht="39.6" x14ac:dyDescent="0.25">
      <c r="A30" s="3">
        <v>22</v>
      </c>
      <c r="B30" s="4" t="s">
        <v>32</v>
      </c>
      <c r="C30" s="330">
        <v>0</v>
      </c>
      <c r="D30" s="330">
        <v>0</v>
      </c>
      <c r="E30" s="330">
        <v>0</v>
      </c>
      <c r="F30" s="330">
        <v>0</v>
      </c>
      <c r="G30" s="330">
        <v>0</v>
      </c>
      <c r="H30" s="330">
        <v>114.4</v>
      </c>
      <c r="I30" s="330"/>
      <c r="J30" s="330">
        <v>108.4</v>
      </c>
      <c r="K30" s="332">
        <f t="shared" si="0"/>
        <v>94.75524475524476</v>
      </c>
      <c r="L30" s="333">
        <v>72.3</v>
      </c>
      <c r="M30" s="331">
        <v>158.20480000000001</v>
      </c>
      <c r="N30" s="330">
        <v>158.20480000000001</v>
      </c>
      <c r="O30" s="330">
        <v>158.20480000000001</v>
      </c>
      <c r="P30" s="332">
        <f t="shared" si="1"/>
        <v>100</v>
      </c>
      <c r="Q30" s="334">
        <v>91.3</v>
      </c>
    </row>
    <row r="31" spans="1:17" s="328" customFormat="1" ht="27" thickBot="1" x14ac:dyDescent="0.3">
      <c r="A31" s="338"/>
      <c r="B31" s="5" t="s">
        <v>33</v>
      </c>
      <c r="C31" s="339">
        <f>SUM(C9:C30)</f>
        <v>41645.740646220002</v>
      </c>
      <c r="D31" s="339">
        <f>SUM(D9:D30)</f>
        <v>0</v>
      </c>
      <c r="E31" s="339">
        <f>SUM(E9:E30)</f>
        <v>40956.220773049994</v>
      </c>
      <c r="F31" s="339">
        <f>+E31/C31*100</f>
        <v>98.344320781739796</v>
      </c>
      <c r="G31" s="340" t="s">
        <v>34</v>
      </c>
      <c r="H31" s="339">
        <f>SUM(H9:H30)</f>
        <v>65775.199999999997</v>
      </c>
      <c r="I31" s="339">
        <f>SUM(I9:I30)</f>
        <v>0</v>
      </c>
      <c r="J31" s="339">
        <f>SUM(J9:J30)</f>
        <v>64601.599999999991</v>
      </c>
      <c r="K31" s="341">
        <f>+J31/H31*100</f>
        <v>98.215740887142871</v>
      </c>
      <c r="L31" s="342" t="s">
        <v>34</v>
      </c>
      <c r="M31" s="343">
        <f>SUM(M9:M30)</f>
        <v>64235.351700000007</v>
      </c>
      <c r="N31" s="339">
        <f>SUM(N9:N30)</f>
        <v>63238.699899999985</v>
      </c>
      <c r="O31" s="339">
        <f>SUM(O9:O30)</f>
        <v>63012.243999999999</v>
      </c>
      <c r="P31" s="341">
        <f>+O31/M31*100</f>
        <v>98.095896313120051</v>
      </c>
      <c r="Q31" s="344" t="s">
        <v>34</v>
      </c>
    </row>
    <row r="32" spans="1:17" ht="13.8" thickTop="1" x14ac:dyDescent="0.25"/>
  </sheetData>
  <sheetProtection sheet="1" objects="1" scenarios="1"/>
  <autoFilter ref="A8:Q31"/>
  <mergeCells count="9">
    <mergeCell ref="L6:L7"/>
    <mergeCell ref="M6:P6"/>
    <mergeCell ref="Q6:Q7"/>
    <mergeCell ref="A3:Q3"/>
    <mergeCell ref="A6:A7"/>
    <mergeCell ref="B6:B7"/>
    <mergeCell ref="C6:F6"/>
    <mergeCell ref="G6:G7"/>
    <mergeCell ref="H6:K6"/>
  </mergeCells>
  <pageMargins left="0.39370078740157483" right="0.39370078740157483" top="0.59055118110236227" bottom="0.59055118110236227" header="0.31496062992125984" footer="0.31496062992125984"/>
  <pageSetup paperSize="9" scale="86" fitToHeight="0" orientation="landscape" r:id="rId1"/>
  <headerFooter>
    <oddFooter>&amp;C&amp;8&amp;P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opLeftCell="A49" workbookViewId="0">
      <selection activeCell="I7" sqref="I7"/>
    </sheetView>
  </sheetViews>
  <sheetFormatPr defaultColWidth="8.69921875" defaultRowHeight="13.2" x14ac:dyDescent="0.25"/>
  <cols>
    <col min="1" max="1" width="39.19921875" style="352" customWidth="1"/>
    <col min="2" max="2" width="13.59765625" style="352" customWidth="1"/>
    <col min="3" max="4" width="5.8984375" style="352" bestFit="1" customWidth="1"/>
    <col min="5" max="5" width="5.5" style="352" bestFit="1" customWidth="1"/>
    <col min="6" max="6" width="6.5" style="352" bestFit="1" customWidth="1"/>
    <col min="7" max="7" width="32.8984375" style="205" customWidth="1"/>
    <col min="8" max="16384" width="8.69921875" style="352"/>
  </cols>
  <sheetData>
    <row r="1" spans="1:7" x14ac:dyDescent="0.25">
      <c r="G1" s="353" t="s">
        <v>499</v>
      </c>
    </row>
    <row r="3" spans="1:7" ht="30" customHeight="1" x14ac:dyDescent="0.25">
      <c r="A3" s="447" t="s">
        <v>223</v>
      </c>
      <c r="B3" s="447"/>
      <c r="C3" s="447"/>
      <c r="D3" s="447"/>
      <c r="E3" s="447"/>
      <c r="F3" s="447"/>
      <c r="G3" s="447"/>
    </row>
    <row r="4" spans="1:7" ht="13.5" thickBot="1" x14ac:dyDescent="0.25">
      <c r="A4" s="350"/>
      <c r="B4" s="350"/>
      <c r="C4" s="350"/>
      <c r="D4" s="350"/>
      <c r="E4" s="350"/>
      <c r="F4" s="350"/>
      <c r="G4" s="350"/>
    </row>
    <row r="5" spans="1:7" ht="13.8" thickTop="1" x14ac:dyDescent="0.25">
      <c r="A5" s="448" t="s">
        <v>224</v>
      </c>
      <c r="B5" s="450" t="s">
        <v>225</v>
      </c>
      <c r="C5" s="450" t="s">
        <v>226</v>
      </c>
      <c r="D5" s="450"/>
      <c r="E5" s="450" t="s">
        <v>227</v>
      </c>
      <c r="F5" s="450"/>
      <c r="G5" s="452" t="s">
        <v>228</v>
      </c>
    </row>
    <row r="6" spans="1:7" x14ac:dyDescent="0.25">
      <c r="A6" s="449"/>
      <c r="B6" s="451"/>
      <c r="C6" s="361" t="s">
        <v>229</v>
      </c>
      <c r="D6" s="361" t="s">
        <v>230</v>
      </c>
      <c r="E6" s="361" t="s">
        <v>231</v>
      </c>
      <c r="F6" s="361" t="s">
        <v>232</v>
      </c>
      <c r="G6" s="453"/>
    </row>
    <row r="7" spans="1:7" x14ac:dyDescent="0.25">
      <c r="A7" s="444" t="s">
        <v>233</v>
      </c>
      <c r="B7" s="445"/>
      <c r="C7" s="445"/>
      <c r="D7" s="445"/>
      <c r="E7" s="445"/>
      <c r="F7" s="445"/>
      <c r="G7" s="446"/>
    </row>
    <row r="8" spans="1:7" ht="52.8" x14ac:dyDescent="0.25">
      <c r="A8" s="213" t="s">
        <v>234</v>
      </c>
      <c r="B8" s="351" t="s">
        <v>235</v>
      </c>
      <c r="C8" s="354">
        <v>12.8</v>
      </c>
      <c r="D8" s="354">
        <v>13.6</v>
      </c>
      <c r="E8" s="354">
        <v>0.8</v>
      </c>
      <c r="F8" s="354">
        <v>6.2</v>
      </c>
      <c r="G8" s="355" t="s">
        <v>449</v>
      </c>
    </row>
    <row r="9" spans="1:7" ht="39.6" x14ac:dyDescent="0.25">
      <c r="A9" s="213" t="s">
        <v>236</v>
      </c>
      <c r="B9" s="351" t="s">
        <v>237</v>
      </c>
      <c r="C9" s="354">
        <v>720.6</v>
      </c>
      <c r="D9" s="354">
        <v>781.9</v>
      </c>
      <c r="E9" s="354">
        <v>61.3</v>
      </c>
      <c r="F9" s="354">
        <v>8.5</v>
      </c>
      <c r="G9" s="355" t="s">
        <v>238</v>
      </c>
    </row>
    <row r="10" spans="1:7" ht="26.4" x14ac:dyDescent="0.25">
      <c r="A10" s="213" t="s">
        <v>239</v>
      </c>
      <c r="B10" s="351" t="s">
        <v>237</v>
      </c>
      <c r="C10" s="354">
        <v>219</v>
      </c>
      <c r="D10" s="354">
        <v>229.5</v>
      </c>
      <c r="E10" s="354">
        <v>10.5</v>
      </c>
      <c r="F10" s="354">
        <v>4.8</v>
      </c>
      <c r="G10" s="355"/>
    </row>
    <row r="11" spans="1:7" ht="39.6" x14ac:dyDescent="0.25">
      <c r="A11" s="213" t="s">
        <v>240</v>
      </c>
      <c r="B11" s="351" t="s">
        <v>241</v>
      </c>
      <c r="C11" s="354">
        <v>41.3</v>
      </c>
      <c r="D11" s="354">
        <v>39.799999999999997</v>
      </c>
      <c r="E11" s="354">
        <v>-1.5</v>
      </c>
      <c r="F11" s="354">
        <v>-3.6</v>
      </c>
      <c r="G11" s="355" t="s">
        <v>242</v>
      </c>
    </row>
    <row r="12" spans="1:7" ht="26.4" x14ac:dyDescent="0.25">
      <c r="A12" s="213" t="s">
        <v>243</v>
      </c>
      <c r="B12" s="351" t="s">
        <v>244</v>
      </c>
      <c r="C12" s="354">
        <v>70.400000000000006</v>
      </c>
      <c r="D12" s="354">
        <v>70.2</v>
      </c>
      <c r="E12" s="354">
        <v>-0.2</v>
      </c>
      <c r="F12" s="354">
        <v>-0.3</v>
      </c>
      <c r="G12" s="355"/>
    </row>
    <row r="13" spans="1:7" ht="28.5" customHeight="1" x14ac:dyDescent="0.25">
      <c r="A13" s="441" t="s">
        <v>245</v>
      </c>
      <c r="B13" s="442"/>
      <c r="C13" s="442"/>
      <c r="D13" s="442"/>
      <c r="E13" s="442"/>
      <c r="F13" s="442"/>
      <c r="G13" s="443"/>
    </row>
    <row r="14" spans="1:7" ht="26.4" x14ac:dyDescent="0.25">
      <c r="A14" s="213" t="s">
        <v>246</v>
      </c>
      <c r="B14" s="351" t="s">
        <v>232</v>
      </c>
      <c r="C14" s="354">
        <v>83</v>
      </c>
      <c r="D14" s="354">
        <v>50</v>
      </c>
      <c r="E14" s="354">
        <v>-33</v>
      </c>
      <c r="F14" s="354">
        <v>-39.799999999999997</v>
      </c>
      <c r="G14" s="355" t="s">
        <v>247</v>
      </c>
    </row>
    <row r="15" spans="1:7" ht="26.4" x14ac:dyDescent="0.25">
      <c r="A15" s="213" t="s">
        <v>248</v>
      </c>
      <c r="B15" s="351" t="s">
        <v>232</v>
      </c>
      <c r="C15" s="354">
        <v>49</v>
      </c>
      <c r="D15" s="354">
        <v>50</v>
      </c>
      <c r="E15" s="354">
        <v>1</v>
      </c>
      <c r="F15" s="354">
        <v>2</v>
      </c>
      <c r="G15" s="355"/>
    </row>
    <row r="16" spans="1:7" ht="39.6" x14ac:dyDescent="0.25">
      <c r="A16" s="213" t="s">
        <v>249</v>
      </c>
      <c r="B16" s="351" t="s">
        <v>232</v>
      </c>
      <c r="C16" s="354">
        <v>73</v>
      </c>
      <c r="D16" s="354">
        <v>75</v>
      </c>
      <c r="E16" s="354">
        <v>2</v>
      </c>
      <c r="F16" s="354">
        <v>2.7</v>
      </c>
      <c r="G16" s="355"/>
    </row>
    <row r="17" spans="1:7" ht="39.6" x14ac:dyDescent="0.25">
      <c r="A17" s="213" t="s">
        <v>250</v>
      </c>
      <c r="B17" s="351" t="s">
        <v>232</v>
      </c>
      <c r="C17" s="354">
        <v>69.099999999999994</v>
      </c>
      <c r="D17" s="354">
        <v>52</v>
      </c>
      <c r="E17" s="354">
        <v>-17.100000000000001</v>
      </c>
      <c r="F17" s="354">
        <v>-24.7</v>
      </c>
      <c r="G17" s="355" t="s">
        <v>251</v>
      </c>
    </row>
    <row r="18" spans="1:7" ht="26.4" x14ac:dyDescent="0.25">
      <c r="A18" s="213" t="s">
        <v>252</v>
      </c>
      <c r="B18" s="351" t="s">
        <v>232</v>
      </c>
      <c r="C18" s="354">
        <v>24.3</v>
      </c>
      <c r="D18" s="354">
        <v>25.1</v>
      </c>
      <c r="E18" s="354">
        <v>0.8</v>
      </c>
      <c r="F18" s="354">
        <v>3.3</v>
      </c>
      <c r="G18" s="355"/>
    </row>
    <row r="19" spans="1:7" ht="27" customHeight="1" x14ac:dyDescent="0.25">
      <c r="A19" s="444" t="s">
        <v>253</v>
      </c>
      <c r="B19" s="445"/>
      <c r="C19" s="445"/>
      <c r="D19" s="445"/>
      <c r="E19" s="445"/>
      <c r="F19" s="445"/>
      <c r="G19" s="446"/>
    </row>
    <row r="20" spans="1:7" ht="52.8" x14ac:dyDescent="0.25">
      <c r="A20" s="213" t="s">
        <v>254</v>
      </c>
      <c r="B20" s="351" t="s">
        <v>244</v>
      </c>
      <c r="C20" s="354">
        <v>48.5</v>
      </c>
      <c r="D20" s="354">
        <v>46</v>
      </c>
      <c r="E20" s="354">
        <v>-2.5</v>
      </c>
      <c r="F20" s="354">
        <v>-5.2</v>
      </c>
      <c r="G20" s="355"/>
    </row>
    <row r="21" spans="1:7" ht="26.4" x14ac:dyDescent="0.25">
      <c r="A21" s="213" t="s">
        <v>255</v>
      </c>
      <c r="B21" s="351" t="s">
        <v>232</v>
      </c>
      <c r="C21" s="354">
        <v>25.1</v>
      </c>
      <c r="D21" s="354">
        <v>26</v>
      </c>
      <c r="E21" s="354">
        <v>0.9</v>
      </c>
      <c r="F21" s="354">
        <v>3.6</v>
      </c>
      <c r="G21" s="355" t="s">
        <v>256</v>
      </c>
    </row>
    <row r="22" spans="1:7" ht="26.4" x14ac:dyDescent="0.25">
      <c r="A22" s="213" t="s">
        <v>257</v>
      </c>
      <c r="B22" s="351" t="s">
        <v>237</v>
      </c>
      <c r="C22" s="354">
        <v>470.4</v>
      </c>
      <c r="D22" s="354">
        <v>485.7</v>
      </c>
      <c r="E22" s="354">
        <v>15.3</v>
      </c>
      <c r="F22" s="354">
        <v>3.2</v>
      </c>
      <c r="G22" s="355"/>
    </row>
    <row r="23" spans="1:7" x14ac:dyDescent="0.25">
      <c r="A23" s="444" t="s">
        <v>258</v>
      </c>
      <c r="B23" s="445"/>
      <c r="C23" s="445"/>
      <c r="D23" s="445"/>
      <c r="E23" s="445"/>
      <c r="F23" s="445"/>
      <c r="G23" s="446"/>
    </row>
    <row r="24" spans="1:7" ht="39.6" x14ac:dyDescent="0.25">
      <c r="A24" s="213" t="s">
        <v>259</v>
      </c>
      <c r="B24" s="351" t="s">
        <v>260</v>
      </c>
      <c r="C24" s="354">
        <v>1500</v>
      </c>
      <c r="D24" s="354">
        <v>0</v>
      </c>
      <c r="E24" s="354">
        <v>-1500</v>
      </c>
      <c r="F24" s="354">
        <v>-100</v>
      </c>
      <c r="G24" s="355" t="s">
        <v>261</v>
      </c>
    </row>
    <row r="25" spans="1:7" x14ac:dyDescent="0.25">
      <c r="A25" s="444" t="s">
        <v>262</v>
      </c>
      <c r="B25" s="445"/>
      <c r="C25" s="445"/>
      <c r="D25" s="445"/>
      <c r="E25" s="445"/>
      <c r="F25" s="445"/>
      <c r="G25" s="446"/>
    </row>
    <row r="26" spans="1:7" ht="52.8" x14ac:dyDescent="0.25">
      <c r="A26" s="213" t="s">
        <v>263</v>
      </c>
      <c r="B26" s="351" t="s">
        <v>232</v>
      </c>
      <c r="C26" s="354">
        <v>99</v>
      </c>
      <c r="D26" s="354">
        <v>98.6</v>
      </c>
      <c r="E26" s="354">
        <v>-0.4</v>
      </c>
      <c r="F26" s="354">
        <v>-0.4</v>
      </c>
      <c r="G26" s="355"/>
    </row>
    <row r="27" spans="1:7" ht="66" x14ac:dyDescent="0.25">
      <c r="A27" s="213" t="s">
        <v>264</v>
      </c>
      <c r="B27" s="351" t="s">
        <v>232</v>
      </c>
      <c r="C27" s="354">
        <v>55</v>
      </c>
      <c r="D27" s="354">
        <v>0</v>
      </c>
      <c r="E27" s="354">
        <v>-55</v>
      </c>
      <c r="F27" s="354">
        <v>-100</v>
      </c>
      <c r="G27" s="355" t="s">
        <v>265</v>
      </c>
    </row>
    <row r="28" spans="1:7" ht="26.4" x14ac:dyDescent="0.25">
      <c r="A28" s="213" t="s">
        <v>266</v>
      </c>
      <c r="B28" s="351" t="s">
        <v>232</v>
      </c>
      <c r="C28" s="354">
        <v>0.19</v>
      </c>
      <c r="D28" s="354">
        <v>0.3</v>
      </c>
      <c r="E28" s="354">
        <v>0.11</v>
      </c>
      <c r="F28" s="354">
        <v>57.9</v>
      </c>
      <c r="G28" s="355"/>
    </row>
    <row r="29" spans="1:7" ht="26.4" x14ac:dyDescent="0.25">
      <c r="A29" s="213" t="s">
        <v>267</v>
      </c>
      <c r="B29" s="351" t="s">
        <v>232</v>
      </c>
      <c r="C29" s="354">
        <v>96.5</v>
      </c>
      <c r="D29" s="354">
        <v>85.7</v>
      </c>
      <c r="E29" s="354">
        <v>-10.8</v>
      </c>
      <c r="F29" s="354">
        <v>-11.2</v>
      </c>
      <c r="G29" s="355" t="s">
        <v>268</v>
      </c>
    </row>
    <row r="30" spans="1:7" x14ac:dyDescent="0.25">
      <c r="A30" s="441" t="s">
        <v>269</v>
      </c>
      <c r="B30" s="442"/>
      <c r="C30" s="442"/>
      <c r="D30" s="442"/>
      <c r="E30" s="442"/>
      <c r="F30" s="442"/>
      <c r="G30" s="443"/>
    </row>
    <row r="31" spans="1:7" ht="26.4" x14ac:dyDescent="0.25">
      <c r="A31" s="213" t="s">
        <v>270</v>
      </c>
      <c r="B31" s="351" t="s">
        <v>232</v>
      </c>
      <c r="C31" s="354">
        <v>12</v>
      </c>
      <c r="D31" s="354">
        <v>11.6</v>
      </c>
      <c r="E31" s="354">
        <v>-0.4</v>
      </c>
      <c r="F31" s="354">
        <v>-3.3</v>
      </c>
      <c r="G31" s="355"/>
    </row>
    <row r="32" spans="1:7" x14ac:dyDescent="0.25">
      <c r="A32" s="441" t="s">
        <v>271</v>
      </c>
      <c r="B32" s="442"/>
      <c r="C32" s="442"/>
      <c r="D32" s="442"/>
      <c r="E32" s="442"/>
      <c r="F32" s="442"/>
      <c r="G32" s="443"/>
    </row>
    <row r="33" spans="1:7" ht="66" x14ac:dyDescent="0.25">
      <c r="A33" s="213" t="s">
        <v>272</v>
      </c>
      <c r="B33" s="351" t="s">
        <v>273</v>
      </c>
      <c r="C33" s="354">
        <v>310</v>
      </c>
      <c r="D33" s="354">
        <v>290</v>
      </c>
      <c r="E33" s="354">
        <v>-20</v>
      </c>
      <c r="F33" s="354">
        <v>-6.5</v>
      </c>
      <c r="G33" s="355"/>
    </row>
    <row r="34" spans="1:7" ht="79.2" x14ac:dyDescent="0.25">
      <c r="A34" s="213" t="s">
        <v>274</v>
      </c>
      <c r="B34" s="351" t="s">
        <v>273</v>
      </c>
      <c r="C34" s="354">
        <v>1990</v>
      </c>
      <c r="D34" s="354">
        <v>1880</v>
      </c>
      <c r="E34" s="354">
        <v>-110</v>
      </c>
      <c r="F34" s="354">
        <v>-5.3</v>
      </c>
      <c r="G34" s="355"/>
    </row>
    <row r="35" spans="1:7" ht="39.6" x14ac:dyDescent="0.25">
      <c r="A35" s="213" t="s">
        <v>275</v>
      </c>
      <c r="B35" s="351" t="s">
        <v>273</v>
      </c>
      <c r="C35" s="354">
        <v>25</v>
      </c>
      <c r="D35" s="354">
        <v>23</v>
      </c>
      <c r="E35" s="354">
        <v>-2</v>
      </c>
      <c r="F35" s="354">
        <v>-8</v>
      </c>
      <c r="G35" s="355"/>
    </row>
    <row r="36" spans="1:7" ht="39.6" x14ac:dyDescent="0.25">
      <c r="A36" s="213" t="s">
        <v>276</v>
      </c>
      <c r="B36" s="351" t="s">
        <v>277</v>
      </c>
      <c r="C36" s="354">
        <v>77.8</v>
      </c>
      <c r="D36" s="354">
        <v>74.3</v>
      </c>
      <c r="E36" s="354">
        <v>-3.5</v>
      </c>
      <c r="F36" s="354">
        <v>-4.5</v>
      </c>
      <c r="G36" s="355"/>
    </row>
    <row r="37" spans="1:7" ht="92.4" x14ac:dyDescent="0.25">
      <c r="A37" s="213" t="s">
        <v>278</v>
      </c>
      <c r="B37" s="351" t="s">
        <v>232</v>
      </c>
      <c r="C37" s="354">
        <v>84.5</v>
      </c>
      <c r="D37" s="354">
        <v>83.1</v>
      </c>
      <c r="E37" s="354">
        <v>-1.4</v>
      </c>
      <c r="F37" s="354">
        <v>-1.7</v>
      </c>
      <c r="G37" s="355"/>
    </row>
    <row r="38" spans="1:7" ht="92.4" x14ac:dyDescent="0.25">
      <c r="A38" s="213" t="s">
        <v>279</v>
      </c>
      <c r="B38" s="351" t="s">
        <v>232</v>
      </c>
      <c r="C38" s="354">
        <v>89.9</v>
      </c>
      <c r="D38" s="354">
        <v>89.2</v>
      </c>
      <c r="E38" s="354">
        <v>-0.7</v>
      </c>
      <c r="F38" s="354">
        <v>-0.8</v>
      </c>
      <c r="G38" s="355"/>
    </row>
    <row r="39" spans="1:7" ht="52.8" x14ac:dyDescent="0.25">
      <c r="A39" s="213" t="s">
        <v>280</v>
      </c>
      <c r="B39" s="351" t="s">
        <v>232</v>
      </c>
      <c r="C39" s="354">
        <v>91.9</v>
      </c>
      <c r="D39" s="354">
        <v>83.1</v>
      </c>
      <c r="E39" s="354">
        <v>-8.8000000000000007</v>
      </c>
      <c r="F39" s="354">
        <v>-9.6</v>
      </c>
      <c r="G39" s="355" t="s">
        <v>281</v>
      </c>
    </row>
    <row r="40" spans="1:7" ht="26.4" x14ac:dyDescent="0.25">
      <c r="A40" s="213" t="s">
        <v>282</v>
      </c>
      <c r="B40" s="356"/>
      <c r="C40" s="356"/>
      <c r="D40" s="356"/>
      <c r="E40" s="356"/>
      <c r="F40" s="356"/>
      <c r="G40" s="355"/>
    </row>
    <row r="41" spans="1:7" x14ac:dyDescent="0.25">
      <c r="A41" s="213" t="s">
        <v>283</v>
      </c>
      <c r="B41" s="351" t="s">
        <v>232</v>
      </c>
      <c r="C41" s="354">
        <v>2</v>
      </c>
      <c r="D41" s="354">
        <v>-4.2</v>
      </c>
      <c r="E41" s="354">
        <v>-6.2</v>
      </c>
      <c r="F41" s="354">
        <v>-310</v>
      </c>
      <c r="G41" s="355"/>
    </row>
    <row r="42" spans="1:7" x14ac:dyDescent="0.25">
      <c r="A42" s="213" t="s">
        <v>284</v>
      </c>
      <c r="B42" s="351" t="s">
        <v>232</v>
      </c>
      <c r="C42" s="354">
        <v>2.1</v>
      </c>
      <c r="D42" s="354">
        <v>-1.1000000000000001</v>
      </c>
      <c r="E42" s="354">
        <v>-3.2</v>
      </c>
      <c r="F42" s="354">
        <v>-152.4</v>
      </c>
      <c r="G42" s="355"/>
    </row>
    <row r="43" spans="1:7" ht="39.6" x14ac:dyDescent="0.25">
      <c r="A43" s="213" t="s">
        <v>285</v>
      </c>
      <c r="B43" s="351" t="s">
        <v>232</v>
      </c>
      <c r="C43" s="354">
        <v>1.4</v>
      </c>
      <c r="D43" s="354">
        <v>-1.4</v>
      </c>
      <c r="E43" s="354">
        <v>-2.8</v>
      </c>
      <c r="F43" s="354">
        <v>-200</v>
      </c>
      <c r="G43" s="355"/>
    </row>
    <row r="44" spans="1:7" ht="26.4" x14ac:dyDescent="0.25">
      <c r="A44" s="213" t="s">
        <v>286</v>
      </c>
      <c r="B44" s="351" t="s">
        <v>287</v>
      </c>
      <c r="C44" s="356"/>
      <c r="D44" s="356"/>
      <c r="E44" s="356"/>
      <c r="F44" s="356"/>
      <c r="G44" s="355"/>
    </row>
    <row r="45" spans="1:7" ht="26.4" x14ac:dyDescent="0.25">
      <c r="A45" s="213" t="s">
        <v>288</v>
      </c>
      <c r="B45" s="351" t="s">
        <v>273</v>
      </c>
      <c r="C45" s="354">
        <v>1208</v>
      </c>
      <c r="D45" s="354">
        <v>1238</v>
      </c>
      <c r="E45" s="354">
        <v>30</v>
      </c>
      <c r="F45" s="354">
        <v>2.5</v>
      </c>
      <c r="G45" s="355"/>
    </row>
    <row r="46" spans="1:7" ht="39.6" x14ac:dyDescent="0.25">
      <c r="A46" s="213" t="s">
        <v>289</v>
      </c>
      <c r="B46" s="351" t="s">
        <v>232</v>
      </c>
      <c r="C46" s="354">
        <v>95</v>
      </c>
      <c r="D46" s="354">
        <v>65</v>
      </c>
      <c r="E46" s="354">
        <v>-30</v>
      </c>
      <c r="F46" s="354">
        <v>-31.6</v>
      </c>
      <c r="G46" s="355"/>
    </row>
    <row r="47" spans="1:7" ht="66" x14ac:dyDescent="0.25">
      <c r="A47" s="213" t="s">
        <v>290</v>
      </c>
      <c r="B47" s="351" t="s">
        <v>273</v>
      </c>
      <c r="C47" s="354">
        <v>2130</v>
      </c>
      <c r="D47" s="354">
        <v>1880</v>
      </c>
      <c r="E47" s="354">
        <v>-250</v>
      </c>
      <c r="F47" s="354">
        <v>-11.7</v>
      </c>
      <c r="G47" s="355"/>
    </row>
    <row r="48" spans="1:7" x14ac:dyDescent="0.25">
      <c r="A48" s="213" t="s">
        <v>291</v>
      </c>
      <c r="B48" s="351" t="s">
        <v>273</v>
      </c>
      <c r="C48" s="354">
        <v>1970</v>
      </c>
      <c r="D48" s="354">
        <v>1721</v>
      </c>
      <c r="E48" s="354">
        <v>-249</v>
      </c>
      <c r="F48" s="354">
        <v>-12.6</v>
      </c>
      <c r="G48" s="355"/>
    </row>
    <row r="49" spans="1:7" x14ac:dyDescent="0.25">
      <c r="A49" s="213" t="s">
        <v>292</v>
      </c>
      <c r="B49" s="351" t="s">
        <v>273</v>
      </c>
      <c r="C49" s="354">
        <v>160</v>
      </c>
      <c r="D49" s="354">
        <v>159</v>
      </c>
      <c r="E49" s="354">
        <v>-1</v>
      </c>
      <c r="F49" s="354">
        <v>-0.6</v>
      </c>
      <c r="G49" s="355"/>
    </row>
    <row r="50" spans="1:7" ht="66" x14ac:dyDescent="0.25">
      <c r="A50" s="213" t="s">
        <v>293</v>
      </c>
      <c r="B50" s="351" t="s">
        <v>273</v>
      </c>
      <c r="C50" s="354">
        <v>337</v>
      </c>
      <c r="D50" s="354">
        <v>290</v>
      </c>
      <c r="E50" s="354">
        <v>-47</v>
      </c>
      <c r="F50" s="354">
        <v>-13.9</v>
      </c>
      <c r="G50" s="355"/>
    </row>
    <row r="51" spans="1:7" x14ac:dyDescent="0.25">
      <c r="A51" s="213" t="s">
        <v>294</v>
      </c>
      <c r="B51" s="351" t="s">
        <v>273</v>
      </c>
      <c r="C51" s="354">
        <v>245</v>
      </c>
      <c r="D51" s="354">
        <v>202</v>
      </c>
      <c r="E51" s="354">
        <v>-43</v>
      </c>
      <c r="F51" s="354">
        <v>-17.600000000000001</v>
      </c>
      <c r="G51" s="355"/>
    </row>
    <row r="52" spans="1:7" x14ac:dyDescent="0.25">
      <c r="A52" s="213" t="s">
        <v>295</v>
      </c>
      <c r="B52" s="351" t="s">
        <v>273</v>
      </c>
      <c r="C52" s="354">
        <v>92</v>
      </c>
      <c r="D52" s="354">
        <v>88</v>
      </c>
      <c r="E52" s="354">
        <v>-4</v>
      </c>
      <c r="F52" s="354">
        <v>-4.3</v>
      </c>
      <c r="G52" s="355"/>
    </row>
    <row r="53" spans="1:7" ht="26.4" x14ac:dyDescent="0.25">
      <c r="A53" s="213" t="s">
        <v>450</v>
      </c>
      <c r="B53" s="351" t="s">
        <v>273</v>
      </c>
      <c r="C53" s="354">
        <v>194</v>
      </c>
      <c r="D53" s="354">
        <v>193</v>
      </c>
      <c r="E53" s="354">
        <v>-1</v>
      </c>
      <c r="F53" s="354">
        <v>-0.5</v>
      </c>
      <c r="G53" s="355"/>
    </row>
    <row r="54" spans="1:7" ht="26.4" x14ac:dyDescent="0.25">
      <c r="A54" s="213" t="s">
        <v>296</v>
      </c>
      <c r="B54" s="351" t="s">
        <v>273</v>
      </c>
      <c r="C54" s="354">
        <v>42</v>
      </c>
      <c r="D54" s="354">
        <v>40</v>
      </c>
      <c r="E54" s="354">
        <v>-2</v>
      </c>
      <c r="F54" s="354">
        <v>-4.8</v>
      </c>
      <c r="G54" s="355"/>
    </row>
    <row r="55" spans="1:7" ht="26.4" x14ac:dyDescent="0.25">
      <c r="A55" s="213" t="s">
        <v>297</v>
      </c>
      <c r="B55" s="351" t="s">
        <v>273</v>
      </c>
      <c r="C55" s="354">
        <v>72</v>
      </c>
      <c r="D55" s="354">
        <v>66</v>
      </c>
      <c r="E55" s="354">
        <v>-6</v>
      </c>
      <c r="F55" s="354">
        <v>-8.3000000000000007</v>
      </c>
      <c r="G55" s="355"/>
    </row>
    <row r="56" spans="1:7" ht="92.4" x14ac:dyDescent="0.25">
      <c r="A56" s="213" t="s">
        <v>298</v>
      </c>
      <c r="B56" s="351" t="s">
        <v>232</v>
      </c>
      <c r="C56" s="354">
        <v>90</v>
      </c>
      <c r="D56" s="354">
        <v>87.5</v>
      </c>
      <c r="E56" s="354">
        <v>-2.5</v>
      </c>
      <c r="F56" s="354">
        <v>-2.8</v>
      </c>
      <c r="G56" s="355"/>
    </row>
    <row r="57" spans="1:7" x14ac:dyDescent="0.25">
      <c r="A57" s="213" t="s">
        <v>299</v>
      </c>
      <c r="B57" s="351" t="s">
        <v>300</v>
      </c>
      <c r="C57" s="354">
        <v>92</v>
      </c>
      <c r="D57" s="354">
        <v>87.5</v>
      </c>
      <c r="E57" s="354">
        <v>-4.5</v>
      </c>
      <c r="F57" s="354">
        <v>-4.9000000000000004</v>
      </c>
      <c r="G57" s="355"/>
    </row>
    <row r="58" spans="1:7" ht="39.6" x14ac:dyDescent="0.25">
      <c r="A58" s="213" t="s">
        <v>301</v>
      </c>
      <c r="B58" s="351" t="s">
        <v>300</v>
      </c>
      <c r="C58" s="354">
        <v>50</v>
      </c>
      <c r="D58" s="354">
        <v>42.1</v>
      </c>
      <c r="E58" s="354">
        <v>-7.9</v>
      </c>
      <c r="F58" s="354">
        <v>-15.8</v>
      </c>
      <c r="G58" s="355"/>
    </row>
    <row r="59" spans="1:7" ht="53.4" thickBot="1" x14ac:dyDescent="0.3">
      <c r="A59" s="357" t="s">
        <v>302</v>
      </c>
      <c r="B59" s="358" t="s">
        <v>300</v>
      </c>
      <c r="C59" s="359">
        <v>54</v>
      </c>
      <c r="D59" s="359">
        <v>43.5</v>
      </c>
      <c r="E59" s="359">
        <v>-10.5</v>
      </c>
      <c r="F59" s="359">
        <v>-19.399999999999999</v>
      </c>
      <c r="G59" s="360"/>
    </row>
    <row r="60" spans="1:7" ht="13.8" thickTop="1" x14ac:dyDescent="0.25"/>
  </sheetData>
  <sheetProtection sheet="1" objects="1" scenarios="1"/>
  <mergeCells count="13">
    <mergeCell ref="A3:G3"/>
    <mergeCell ref="A5:A6"/>
    <mergeCell ref="B5:B6"/>
    <mergeCell ref="C5:D5"/>
    <mergeCell ref="E5:F5"/>
    <mergeCell ref="G5:G6"/>
    <mergeCell ref="A32:G32"/>
    <mergeCell ref="A7:G7"/>
    <mergeCell ref="A13:G13"/>
    <mergeCell ref="A19:G19"/>
    <mergeCell ref="A23:G23"/>
    <mergeCell ref="A25:G25"/>
    <mergeCell ref="A30:G30"/>
  </mergeCells>
  <pageMargins left="0.70866141732283472" right="0.39370078740157483" top="0.59055118110236227" bottom="0.59055118110236227" header="0.31496062992125984" footer="0.31496062992125984"/>
  <pageSetup paperSize="9" scale="76" fitToHeight="0" orientation="portrait" r:id="rId1"/>
  <headerFooter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workbookViewId="0">
      <selection activeCell="T21" sqref="T21"/>
    </sheetView>
  </sheetViews>
  <sheetFormatPr defaultColWidth="8" defaultRowHeight="13.2" x14ac:dyDescent="0.25"/>
  <cols>
    <col min="1" max="1" width="40.8984375" style="8" customWidth="1"/>
    <col min="2" max="2" width="8.09765625" style="7" customWidth="1"/>
    <col min="3" max="3" width="8.5" style="7" bestFit="1" customWidth="1"/>
    <col min="4" max="4" width="8.09765625" style="7" customWidth="1"/>
    <col min="5" max="6" width="7.5" style="7" hidden="1" customWidth="1"/>
    <col min="7" max="7" width="7.09765625" style="7" hidden="1" customWidth="1"/>
    <col min="8" max="8" width="8.8984375" style="7" bestFit="1" customWidth="1"/>
    <col min="9" max="9" width="8" style="7"/>
    <col min="10" max="10" width="8.19921875" style="7" customWidth="1"/>
    <col min="11" max="11" width="7.69921875" style="7" hidden="1" customWidth="1"/>
    <col min="12" max="12" width="7.3984375" style="7" hidden="1" customWidth="1"/>
    <col min="13" max="13" width="7" style="7" hidden="1" customWidth="1"/>
    <col min="14" max="15" width="7" style="7" customWidth="1"/>
    <col min="16" max="16" width="8.09765625" style="7" customWidth="1"/>
    <col min="17" max="17" width="8.19921875" style="7" customWidth="1"/>
    <col min="18" max="18" width="7.59765625" style="7" customWidth="1"/>
    <col min="19" max="19" width="8.09765625" style="7" customWidth="1"/>
    <col min="20" max="16384" width="8" style="7"/>
  </cols>
  <sheetData>
    <row r="1" spans="1:19" x14ac:dyDescent="0.25">
      <c r="Q1" s="406" t="s">
        <v>493</v>
      </c>
      <c r="R1" s="406"/>
      <c r="S1" s="406"/>
    </row>
    <row r="2" spans="1:19" ht="29.25" customHeight="1" x14ac:dyDescent="0.25">
      <c r="A2" s="407" t="s">
        <v>464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</row>
    <row r="3" spans="1:19" ht="13.8" thickBot="1" x14ac:dyDescent="0.3">
      <c r="Q3" s="239"/>
      <c r="R3" s="239"/>
      <c r="S3" s="239"/>
    </row>
    <row r="4" spans="1:19" s="8" customFormat="1" ht="32.25" customHeight="1" thickTop="1" x14ac:dyDescent="0.25">
      <c r="A4" s="396" t="s">
        <v>50</v>
      </c>
      <c r="B4" s="398" t="s">
        <v>465</v>
      </c>
      <c r="C4" s="398"/>
      <c r="D4" s="398"/>
      <c r="E4" s="398"/>
      <c r="F4" s="398"/>
      <c r="G4" s="398"/>
      <c r="H4" s="398" t="s">
        <v>466</v>
      </c>
      <c r="I4" s="398"/>
      <c r="J4" s="398"/>
      <c r="K4" s="398"/>
      <c r="L4" s="398"/>
      <c r="M4" s="398"/>
      <c r="N4" s="398" t="s">
        <v>467</v>
      </c>
      <c r="O4" s="398"/>
      <c r="P4" s="398"/>
      <c r="Q4" s="398" t="s">
        <v>468</v>
      </c>
      <c r="R4" s="398"/>
      <c r="S4" s="399"/>
    </row>
    <row r="5" spans="1:19" s="8" customFormat="1" x14ac:dyDescent="0.25">
      <c r="A5" s="397"/>
      <c r="B5" s="390" t="s">
        <v>56</v>
      </c>
      <c r="C5" s="388" t="s">
        <v>58</v>
      </c>
      <c r="D5" s="388"/>
      <c r="E5" s="388"/>
      <c r="F5" s="388"/>
      <c r="G5" s="388"/>
      <c r="H5" s="390" t="s">
        <v>56</v>
      </c>
      <c r="I5" s="388" t="s">
        <v>58</v>
      </c>
      <c r="J5" s="388"/>
      <c r="K5" s="388"/>
      <c r="L5" s="388"/>
      <c r="M5" s="388"/>
      <c r="N5" s="391" t="s">
        <v>56</v>
      </c>
      <c r="O5" s="388" t="s">
        <v>58</v>
      </c>
      <c r="P5" s="388"/>
      <c r="Q5" s="391" t="s">
        <v>56</v>
      </c>
      <c r="R5" s="388" t="s">
        <v>58</v>
      </c>
      <c r="S5" s="389"/>
    </row>
    <row r="6" spans="1:19" s="8" customFormat="1" ht="13.2" customHeight="1" x14ac:dyDescent="0.25">
      <c r="A6" s="397"/>
      <c r="B6" s="390"/>
      <c r="C6" s="390" t="s">
        <v>60</v>
      </c>
      <c r="D6" s="391" t="s">
        <v>61</v>
      </c>
      <c r="E6" s="394" t="s">
        <v>62</v>
      </c>
      <c r="F6" s="394"/>
      <c r="G6" s="394"/>
      <c r="H6" s="390"/>
      <c r="I6" s="390" t="s">
        <v>60</v>
      </c>
      <c r="J6" s="391" t="s">
        <v>61</v>
      </c>
      <c r="K6" s="394" t="s">
        <v>62</v>
      </c>
      <c r="L6" s="394"/>
      <c r="M6" s="394"/>
      <c r="N6" s="391"/>
      <c r="O6" s="391" t="s">
        <v>60</v>
      </c>
      <c r="P6" s="391" t="s">
        <v>61</v>
      </c>
      <c r="Q6" s="391"/>
      <c r="R6" s="391" t="s">
        <v>60</v>
      </c>
      <c r="S6" s="408" t="s">
        <v>61</v>
      </c>
    </row>
    <row r="7" spans="1:19" s="8" customFormat="1" ht="26.4" x14ac:dyDescent="0.25">
      <c r="A7" s="397"/>
      <c r="B7" s="390"/>
      <c r="C7" s="390"/>
      <c r="D7" s="391"/>
      <c r="E7" s="363" t="s">
        <v>63</v>
      </c>
      <c r="F7" s="363" t="s">
        <v>64</v>
      </c>
      <c r="G7" s="363" t="s">
        <v>65</v>
      </c>
      <c r="H7" s="390"/>
      <c r="I7" s="390"/>
      <c r="J7" s="391"/>
      <c r="K7" s="363" t="s">
        <v>63</v>
      </c>
      <c r="L7" s="363" t="s">
        <v>64</v>
      </c>
      <c r="M7" s="363" t="s">
        <v>65</v>
      </c>
      <c r="N7" s="391"/>
      <c r="O7" s="391"/>
      <c r="P7" s="391"/>
      <c r="Q7" s="391"/>
      <c r="R7" s="391"/>
      <c r="S7" s="408"/>
    </row>
    <row r="8" spans="1:19" s="18" customFormat="1" ht="20.399999999999999" x14ac:dyDescent="0.25">
      <c r="A8" s="13" t="s">
        <v>41</v>
      </c>
      <c r="B8" s="14" t="s">
        <v>67</v>
      </c>
      <c r="C8" s="14" t="s">
        <v>68</v>
      </c>
      <c r="D8" s="14" t="s">
        <v>69</v>
      </c>
      <c r="E8" s="16"/>
      <c r="F8" s="16"/>
      <c r="G8" s="16"/>
      <c r="H8" s="14" t="s">
        <v>318</v>
      </c>
      <c r="I8" s="14" t="s">
        <v>362</v>
      </c>
      <c r="J8" s="14" t="s">
        <v>320</v>
      </c>
      <c r="K8" s="16"/>
      <c r="L8" s="16"/>
      <c r="M8" s="16"/>
      <c r="N8" s="16" t="s">
        <v>469</v>
      </c>
      <c r="O8" s="16" t="s">
        <v>470</v>
      </c>
      <c r="P8" s="16" t="s">
        <v>471</v>
      </c>
      <c r="Q8" s="364" t="s">
        <v>472</v>
      </c>
      <c r="R8" s="364" t="s">
        <v>473</v>
      </c>
      <c r="S8" s="256" t="s">
        <v>474</v>
      </c>
    </row>
    <row r="9" spans="1:19" s="8" customFormat="1" x14ac:dyDescent="0.25">
      <c r="A9" s="362" t="s">
        <v>79</v>
      </c>
      <c r="B9" s="373"/>
      <c r="C9" s="373"/>
      <c r="D9" s="64"/>
      <c r="E9" s="373"/>
      <c r="F9" s="373"/>
      <c r="G9" s="373"/>
      <c r="H9" s="373"/>
      <c r="I9" s="373"/>
      <c r="J9" s="64"/>
      <c r="K9" s="373"/>
      <c r="L9" s="373"/>
      <c r="M9" s="373"/>
      <c r="N9" s="373"/>
      <c r="O9" s="373"/>
      <c r="P9" s="373"/>
      <c r="Q9" s="373"/>
      <c r="R9" s="373"/>
      <c r="S9" s="374"/>
    </row>
    <row r="10" spans="1:19" s="37" customFormat="1" x14ac:dyDescent="0.25">
      <c r="A10" s="31" t="s">
        <v>81</v>
      </c>
      <c r="B10" s="34">
        <v>58200.204191330005</v>
      </c>
      <c r="C10" s="34">
        <v>45629.55415666</v>
      </c>
      <c r="D10" s="34">
        <v>12574.089297</v>
      </c>
      <c r="E10" s="34">
        <v>9235.564906040001</v>
      </c>
      <c r="F10" s="34">
        <v>2062.0394886700001</v>
      </c>
      <c r="G10" s="34">
        <v>1276.48490229</v>
      </c>
      <c r="H10" s="34">
        <v>59293.513081019999</v>
      </c>
      <c r="I10" s="34">
        <v>46362.117719610003</v>
      </c>
      <c r="J10" s="34">
        <v>12932.106828079999</v>
      </c>
      <c r="K10" s="34">
        <v>9541.3306052099997</v>
      </c>
      <c r="L10" s="34">
        <v>2178.2882684299998</v>
      </c>
      <c r="M10" s="34">
        <v>1212.4879544400001</v>
      </c>
      <c r="N10" s="34">
        <f>H10-B10</f>
        <v>1093.3088896899935</v>
      </c>
      <c r="O10" s="34">
        <f t="shared" ref="O10:P25" si="0">I10-C10</f>
        <v>732.56356295000296</v>
      </c>
      <c r="P10" s="34">
        <f t="shared" si="0"/>
        <v>358.01753107999866</v>
      </c>
      <c r="Q10" s="34">
        <f>H10/B10%-100</f>
        <v>1.8785310204338685</v>
      </c>
      <c r="R10" s="34">
        <f t="shared" ref="R10:S25" si="1">I10/C10%-100</f>
        <v>1.6054585158445605</v>
      </c>
      <c r="S10" s="35">
        <f t="shared" si="1"/>
        <v>2.8472641049671665</v>
      </c>
    </row>
    <row r="11" spans="1:19" x14ac:dyDescent="0.25">
      <c r="A11" s="375" t="s">
        <v>42</v>
      </c>
      <c r="B11" s="28">
        <v>16580.905292650001</v>
      </c>
      <c r="C11" s="28">
        <v>16580.905292650001</v>
      </c>
      <c r="D11" s="28">
        <v>0</v>
      </c>
      <c r="E11" s="28">
        <v>0</v>
      </c>
      <c r="F11" s="28">
        <v>0</v>
      </c>
      <c r="G11" s="28">
        <v>0</v>
      </c>
      <c r="H11" s="28">
        <v>15877.24988682</v>
      </c>
      <c r="I11" s="28">
        <v>15877.24988682</v>
      </c>
      <c r="J11" s="28">
        <v>0</v>
      </c>
      <c r="K11" s="28">
        <v>0</v>
      </c>
      <c r="L11" s="28">
        <v>0</v>
      </c>
      <c r="M11" s="28">
        <v>0</v>
      </c>
      <c r="N11" s="28">
        <f>H11-B11</f>
        <v>-703.65540583000075</v>
      </c>
      <c r="O11" s="28">
        <f t="shared" si="0"/>
        <v>-703.65540583000075</v>
      </c>
      <c r="P11" s="28">
        <f t="shared" si="0"/>
        <v>0</v>
      </c>
      <c r="Q11" s="28">
        <f>H11/B11%-100</f>
        <v>-4.2437695253100429</v>
      </c>
      <c r="R11" s="28">
        <f t="shared" si="1"/>
        <v>-4.2437695253100429</v>
      </c>
      <c r="S11" s="30"/>
    </row>
    <row r="12" spans="1:19" x14ac:dyDescent="0.25">
      <c r="A12" s="375" t="s">
        <v>83</v>
      </c>
      <c r="B12" s="28">
        <v>23737.314099769999</v>
      </c>
      <c r="C12" s="28">
        <v>16160.206909440001</v>
      </c>
      <c r="D12" s="28">
        <v>7577.1071903299999</v>
      </c>
      <c r="E12" s="28">
        <v>5798.1320733699995</v>
      </c>
      <c r="F12" s="28">
        <v>1272.5439502300001</v>
      </c>
      <c r="G12" s="28">
        <v>506.43116673000003</v>
      </c>
      <c r="H12" s="28">
        <v>23195.499780120001</v>
      </c>
      <c r="I12" s="28">
        <v>15400.472689419999</v>
      </c>
      <c r="J12" s="28">
        <v>7795.0270906999995</v>
      </c>
      <c r="K12" s="28">
        <v>6000.7661295899998</v>
      </c>
      <c r="L12" s="28">
        <v>1283.85622128</v>
      </c>
      <c r="M12" s="28">
        <v>510.40473982999998</v>
      </c>
      <c r="N12" s="28">
        <f t="shared" ref="N12:P44" si="2">H12-B12</f>
        <v>-541.81431964999865</v>
      </c>
      <c r="O12" s="28">
        <f t="shared" si="0"/>
        <v>-759.73422002000189</v>
      </c>
      <c r="P12" s="28">
        <f t="shared" si="0"/>
        <v>217.9199003699996</v>
      </c>
      <c r="Q12" s="28">
        <f t="shared" ref="Q12:S44" si="3">H12/B12%-100</f>
        <v>-2.2825426557221533</v>
      </c>
      <c r="R12" s="28">
        <f t="shared" si="1"/>
        <v>-4.7012654248640899</v>
      </c>
      <c r="S12" s="30">
        <f t="shared" si="1"/>
        <v>2.8760303226026878</v>
      </c>
    </row>
    <row r="13" spans="1:19" x14ac:dyDescent="0.25">
      <c r="A13" s="375" t="s">
        <v>84</v>
      </c>
      <c r="B13" s="28">
        <v>3586.0940616999997</v>
      </c>
      <c r="C13" s="28">
        <v>3312.7942154299999</v>
      </c>
      <c r="D13" s="28">
        <v>273.29984626999999</v>
      </c>
      <c r="E13" s="28">
        <v>25.12281505</v>
      </c>
      <c r="F13" s="28">
        <v>110.29534601</v>
      </c>
      <c r="G13" s="28">
        <v>137.88168521</v>
      </c>
      <c r="H13" s="28">
        <v>3638.93001086</v>
      </c>
      <c r="I13" s="28">
        <v>3358.6497737099999</v>
      </c>
      <c r="J13" s="28">
        <v>280.28023714999995</v>
      </c>
      <c r="K13" s="28">
        <v>30.489444859999999</v>
      </c>
      <c r="L13" s="28">
        <v>103.58877299</v>
      </c>
      <c r="M13" s="28">
        <v>146.20201930000002</v>
      </c>
      <c r="N13" s="28">
        <f t="shared" si="2"/>
        <v>52.835949160000382</v>
      </c>
      <c r="O13" s="28">
        <f t="shared" si="0"/>
        <v>45.855558279999968</v>
      </c>
      <c r="P13" s="28">
        <f t="shared" si="0"/>
        <v>6.980390879999959</v>
      </c>
      <c r="Q13" s="28">
        <f t="shared" si="3"/>
        <v>1.4733564778541677</v>
      </c>
      <c r="R13" s="28">
        <f t="shared" si="1"/>
        <v>1.3841957966002951</v>
      </c>
      <c r="S13" s="30">
        <f t="shared" si="1"/>
        <v>2.5541144553384925</v>
      </c>
    </row>
    <row r="14" spans="1:19" x14ac:dyDescent="0.25">
      <c r="A14" s="375" t="s">
        <v>43</v>
      </c>
      <c r="B14" s="28">
        <v>3292.0826839599999</v>
      </c>
      <c r="C14" s="28">
        <v>2230.99883009</v>
      </c>
      <c r="D14" s="28">
        <v>1061.08385387</v>
      </c>
      <c r="E14" s="28">
        <v>747.18019723999998</v>
      </c>
      <c r="F14" s="28">
        <v>309.79681748000002</v>
      </c>
      <c r="G14" s="28">
        <v>4.1068391499999999</v>
      </c>
      <c r="H14" s="28">
        <v>3402.8579076000001</v>
      </c>
      <c r="I14" s="28">
        <v>2229.8034033399999</v>
      </c>
      <c r="J14" s="28">
        <v>1173.0545042599997</v>
      </c>
      <c r="K14" s="28">
        <v>820.54844204999995</v>
      </c>
      <c r="L14" s="28">
        <v>333.65806261</v>
      </c>
      <c r="M14" s="28">
        <v>18.847999600000001</v>
      </c>
      <c r="N14" s="28">
        <f t="shared" si="2"/>
        <v>110.77522364000015</v>
      </c>
      <c r="O14" s="28">
        <f t="shared" si="0"/>
        <v>-1.1954267500000242</v>
      </c>
      <c r="P14" s="28">
        <f t="shared" si="0"/>
        <v>111.97065038999972</v>
      </c>
      <c r="Q14" s="28">
        <f t="shared" si="3"/>
        <v>3.3648979771902532</v>
      </c>
      <c r="R14" s="28">
        <f t="shared" si="1"/>
        <v>-5.3582580765038301E-2</v>
      </c>
      <c r="S14" s="30">
        <f t="shared" si="1"/>
        <v>10.552478956457477</v>
      </c>
    </row>
    <row r="15" spans="1:19" x14ac:dyDescent="0.25">
      <c r="A15" s="375" t="s">
        <v>475</v>
      </c>
      <c r="B15" s="28">
        <v>6423.0004204099996</v>
      </c>
      <c r="C15" s="28">
        <v>5520.6184043100002</v>
      </c>
      <c r="D15" s="28">
        <v>902.38201609999999</v>
      </c>
      <c r="E15" s="28">
        <v>620.59639813000001</v>
      </c>
      <c r="F15" s="28">
        <v>-8.5225999999999998E-4</v>
      </c>
      <c r="G15" s="28">
        <v>281.78647023000002</v>
      </c>
      <c r="H15" s="28">
        <v>7337.3718035699994</v>
      </c>
      <c r="I15" s="28">
        <v>6485.6206693000004</v>
      </c>
      <c r="J15" s="28">
        <v>851.75113426999997</v>
      </c>
      <c r="K15" s="28">
        <v>616.69298838999998</v>
      </c>
      <c r="L15" s="28">
        <v>1.0525199999999999E-3</v>
      </c>
      <c r="M15" s="28">
        <v>235.05709336000001</v>
      </c>
      <c r="N15" s="28">
        <f t="shared" si="2"/>
        <v>914.37138315999982</v>
      </c>
      <c r="O15" s="28">
        <f t="shared" si="0"/>
        <v>965.00226499000019</v>
      </c>
      <c r="P15" s="28">
        <f t="shared" si="0"/>
        <v>-50.630881830000021</v>
      </c>
      <c r="Q15" s="28">
        <f t="shared" si="3"/>
        <v>14.235891690968202</v>
      </c>
      <c r="R15" s="28">
        <f t="shared" si="1"/>
        <v>17.479966813801397</v>
      </c>
      <c r="S15" s="30">
        <f t="shared" si="1"/>
        <v>-5.6108035096733602</v>
      </c>
    </row>
    <row r="16" spans="1:19" s="127" customFormat="1" x14ac:dyDescent="0.25">
      <c r="A16" s="376" t="s">
        <v>476</v>
      </c>
      <c r="B16" s="124">
        <f>123279414.7/1000000</f>
        <v>123.2794147</v>
      </c>
      <c r="C16" s="124"/>
      <c r="D16" s="124">
        <f>E16+F16+G16</f>
        <v>123.2794147</v>
      </c>
      <c r="E16" s="124">
        <f>95753488.64/1000000</f>
        <v>95.75348864</v>
      </c>
      <c r="F16" s="124">
        <v>0</v>
      </c>
      <c r="G16" s="124">
        <f>27525926.06/1000000</f>
        <v>27.52592606</v>
      </c>
      <c r="H16" s="124">
        <f>125363514.15/1000000</f>
        <v>125.36351415</v>
      </c>
      <c r="I16" s="124"/>
      <c r="J16" s="124">
        <f>K16+L16+M16</f>
        <v>125.36351414999999</v>
      </c>
      <c r="K16" s="124">
        <v>97.985962709999995</v>
      </c>
      <c r="L16" s="124">
        <v>5.2520000000000005E-5</v>
      </c>
      <c r="M16" s="124">
        <v>27.377498920000001</v>
      </c>
      <c r="N16" s="124">
        <f t="shared" si="2"/>
        <v>2.0840994499999965</v>
      </c>
      <c r="O16" s="124">
        <f t="shared" si="0"/>
        <v>0</v>
      </c>
      <c r="P16" s="124">
        <f t="shared" si="0"/>
        <v>2.0840994499999823</v>
      </c>
      <c r="Q16" s="124">
        <f t="shared" si="3"/>
        <v>1.6905494360689772</v>
      </c>
      <c r="R16" s="124"/>
      <c r="S16" s="126">
        <f t="shared" si="1"/>
        <v>1.690549436068963</v>
      </c>
    </row>
    <row r="17" spans="1:20" s="127" customFormat="1" x14ac:dyDescent="0.25">
      <c r="A17" s="376" t="s">
        <v>477</v>
      </c>
      <c r="B17" s="124">
        <f>4581677452.17/1000000</f>
        <v>4581.6774521699999</v>
      </c>
      <c r="C17" s="124">
        <v>4581.6774521699999</v>
      </c>
      <c r="D17" s="124">
        <f>E17+F17+G17</f>
        <v>0</v>
      </c>
      <c r="E17" s="124"/>
      <c r="F17" s="124"/>
      <c r="G17" s="124"/>
      <c r="H17" s="124">
        <v>5426.5315679399991</v>
      </c>
      <c r="I17" s="124">
        <v>5426.5315679399991</v>
      </c>
      <c r="J17" s="124">
        <f t="shared" ref="J17:J19" si="4">K17+L17+M17</f>
        <v>0</v>
      </c>
      <c r="K17" s="124"/>
      <c r="L17" s="124"/>
      <c r="M17" s="124"/>
      <c r="N17" s="124">
        <f t="shared" si="2"/>
        <v>844.85411576999923</v>
      </c>
      <c r="O17" s="124">
        <f t="shared" si="0"/>
        <v>844.85411576999923</v>
      </c>
      <c r="P17" s="124">
        <f t="shared" si="0"/>
        <v>0</v>
      </c>
      <c r="Q17" s="124">
        <f t="shared" si="3"/>
        <v>18.439842712407767</v>
      </c>
      <c r="R17" s="124">
        <f t="shared" si="1"/>
        <v>18.439842712407767</v>
      </c>
      <c r="S17" s="126"/>
    </row>
    <row r="18" spans="1:20" s="127" customFormat="1" x14ac:dyDescent="0.25">
      <c r="A18" s="376" t="s">
        <v>478</v>
      </c>
      <c r="B18" s="124">
        <f>937750027.57/1000000</f>
        <v>937.75002757000004</v>
      </c>
      <c r="C18" s="124">
        <v>937.75002757000004</v>
      </c>
      <c r="D18" s="124">
        <f t="shared" ref="D18:D19" si="5">E18+F18+G18</f>
        <v>0</v>
      </c>
      <c r="E18" s="124"/>
      <c r="F18" s="124"/>
      <c r="G18" s="124"/>
      <c r="H18" s="124">
        <v>1057.8685897999999</v>
      </c>
      <c r="I18" s="124">
        <v>1057.8685897999999</v>
      </c>
      <c r="J18" s="124">
        <f t="shared" si="4"/>
        <v>0</v>
      </c>
      <c r="K18" s="124"/>
      <c r="L18" s="124"/>
      <c r="M18" s="124"/>
      <c r="N18" s="124">
        <f t="shared" si="2"/>
        <v>120.11856222999984</v>
      </c>
      <c r="O18" s="124">
        <f t="shared" si="0"/>
        <v>120.11856222999984</v>
      </c>
      <c r="P18" s="124">
        <f t="shared" si="0"/>
        <v>0</v>
      </c>
      <c r="Q18" s="124">
        <f t="shared" si="3"/>
        <v>12.809230466381763</v>
      </c>
      <c r="R18" s="124">
        <f t="shared" si="1"/>
        <v>12.809230466381763</v>
      </c>
      <c r="S18" s="126"/>
    </row>
    <row r="19" spans="1:20" s="127" customFormat="1" x14ac:dyDescent="0.25">
      <c r="A19" s="376" t="s">
        <v>479</v>
      </c>
      <c r="B19" s="124">
        <f>779102601.4/1000000</f>
        <v>779.10260140000003</v>
      </c>
      <c r="C19" s="124"/>
      <c r="D19" s="124">
        <f t="shared" si="5"/>
        <v>779.10260140000003</v>
      </c>
      <c r="E19" s="124">
        <f>524842909.49/1000000</f>
        <v>524.84290949000001</v>
      </c>
      <c r="F19" s="124">
        <f>-852.26/1000000</f>
        <v>-8.5225999999999998E-4</v>
      </c>
      <c r="G19" s="124">
        <f>254260544.17/1000000</f>
        <v>254.26054416999997</v>
      </c>
      <c r="H19" s="124">
        <v>726.38762011999995</v>
      </c>
      <c r="I19" s="124"/>
      <c r="J19" s="124">
        <f t="shared" si="4"/>
        <v>726.38762011999995</v>
      </c>
      <c r="K19" s="124">
        <v>518.70702568000002</v>
      </c>
      <c r="L19" s="124">
        <v>1E-3</v>
      </c>
      <c r="M19" s="124">
        <v>207.67959443999999</v>
      </c>
      <c r="N19" s="124">
        <f t="shared" si="2"/>
        <v>-52.714981280000075</v>
      </c>
      <c r="O19" s="124">
        <f t="shared" si="0"/>
        <v>0</v>
      </c>
      <c r="P19" s="124">
        <f t="shared" si="0"/>
        <v>-52.714981280000075</v>
      </c>
      <c r="Q19" s="124">
        <f t="shared" si="3"/>
        <v>-6.7661154237291044</v>
      </c>
      <c r="R19" s="124"/>
      <c r="S19" s="126">
        <f t="shared" si="1"/>
        <v>-6.7661154237291044</v>
      </c>
    </row>
    <row r="20" spans="1:20" ht="26.4" x14ac:dyDescent="0.25">
      <c r="A20" s="375" t="s">
        <v>480</v>
      </c>
      <c r="B20" s="28">
        <v>672.83923499000002</v>
      </c>
      <c r="C20" s="28">
        <v>672.83923499000002</v>
      </c>
      <c r="D20" s="28">
        <v>0</v>
      </c>
      <c r="E20" s="28">
        <v>0</v>
      </c>
      <c r="F20" s="28">
        <v>0</v>
      </c>
      <c r="G20" s="28">
        <v>0</v>
      </c>
      <c r="H20" s="454">
        <v>1880.8959210999999</v>
      </c>
      <c r="I20" s="454">
        <v>1880.8959210999999</v>
      </c>
      <c r="J20" s="28">
        <v>0</v>
      </c>
      <c r="K20" s="28">
        <v>0</v>
      </c>
      <c r="L20" s="28">
        <v>0</v>
      </c>
      <c r="M20" s="28">
        <v>0</v>
      </c>
      <c r="N20" s="34">
        <f t="shared" si="2"/>
        <v>1208.0566861099999</v>
      </c>
      <c r="O20" s="28">
        <f t="shared" si="0"/>
        <v>1208.0566861099999</v>
      </c>
      <c r="P20" s="28">
        <f t="shared" si="0"/>
        <v>0</v>
      </c>
      <c r="Q20" s="34">
        <f t="shared" si="3"/>
        <v>179.54611195168405</v>
      </c>
      <c r="R20" s="28">
        <f t="shared" si="1"/>
        <v>179.54611195168405</v>
      </c>
      <c r="S20" s="30"/>
    </row>
    <row r="21" spans="1:20" s="127" customFormat="1" ht="26.4" x14ac:dyDescent="0.25">
      <c r="A21" s="376" t="s">
        <v>481</v>
      </c>
      <c r="B21" s="124">
        <f>363717581/1000000</f>
        <v>363.717581</v>
      </c>
      <c r="C21" s="124">
        <v>363.717581</v>
      </c>
      <c r="D21" s="124"/>
      <c r="E21" s="124"/>
      <c r="F21" s="124"/>
      <c r="G21" s="124"/>
      <c r="H21" s="455">
        <v>1694.777421</v>
      </c>
      <c r="I21" s="455">
        <v>1694.777421</v>
      </c>
      <c r="J21" s="124"/>
      <c r="K21" s="124"/>
      <c r="L21" s="124"/>
      <c r="M21" s="124"/>
      <c r="N21" s="125">
        <f t="shared" si="2"/>
        <v>1331.0598399999999</v>
      </c>
      <c r="O21" s="124">
        <f t="shared" si="0"/>
        <v>1331.0598399999999</v>
      </c>
      <c r="P21" s="124">
        <f t="shared" si="0"/>
        <v>0</v>
      </c>
      <c r="Q21" s="125">
        <f t="shared" si="3"/>
        <v>365.9597197200099</v>
      </c>
      <c r="R21" s="125">
        <f t="shared" si="1"/>
        <v>365.9597197200099</v>
      </c>
      <c r="S21" s="126"/>
      <c r="T21" s="387"/>
    </row>
    <row r="22" spans="1:20" x14ac:dyDescent="0.25">
      <c r="A22" s="375" t="s">
        <v>46</v>
      </c>
      <c r="B22" s="28">
        <v>212.23055563999998</v>
      </c>
      <c r="C22" s="28">
        <v>38.899900000000002</v>
      </c>
      <c r="D22" s="28">
        <v>173.33065563999997</v>
      </c>
      <c r="E22" s="28">
        <v>132.19028976000001</v>
      </c>
      <c r="F22" s="28">
        <v>36.491582369999996</v>
      </c>
      <c r="G22" s="28">
        <v>4.6487835099999995</v>
      </c>
      <c r="H22" s="28">
        <v>316.82921400999999</v>
      </c>
      <c r="I22" s="28">
        <v>127.29702172</v>
      </c>
      <c r="J22" s="28">
        <v>189.53219229000001</v>
      </c>
      <c r="K22" s="28">
        <v>145.56005133000002</v>
      </c>
      <c r="L22" s="28">
        <v>39.89364939</v>
      </c>
      <c r="M22" s="28">
        <v>4.0784915699999997</v>
      </c>
      <c r="N22" s="28">
        <f t="shared" si="2"/>
        <v>104.59865837000001</v>
      </c>
      <c r="O22" s="28">
        <f t="shared" si="0"/>
        <v>88.397121720000001</v>
      </c>
      <c r="P22" s="28">
        <f t="shared" si="0"/>
        <v>16.201536650000037</v>
      </c>
      <c r="Q22" s="28">
        <f t="shared" si="3"/>
        <v>49.285390623689182</v>
      </c>
      <c r="R22" s="34">
        <f t="shared" si="1"/>
        <v>227.24254232016017</v>
      </c>
      <c r="S22" s="30">
        <f t="shared" si="1"/>
        <v>9.3471847724674433</v>
      </c>
    </row>
    <row r="23" spans="1:20" ht="39.6" x14ac:dyDescent="0.25">
      <c r="A23" s="375" t="s">
        <v>85</v>
      </c>
      <c r="B23" s="28">
        <v>1.0403192800000001</v>
      </c>
      <c r="C23" s="28">
        <v>0.78123089000000001</v>
      </c>
      <c r="D23" s="28">
        <v>0.25908839</v>
      </c>
      <c r="E23" s="28">
        <v>-2.2241110000000001E-2</v>
      </c>
      <c r="F23" s="28">
        <v>0.22199017999999998</v>
      </c>
      <c r="G23" s="28">
        <v>5.9339320000000001E-2</v>
      </c>
      <c r="H23" s="28">
        <v>0.15963370000000002</v>
      </c>
      <c r="I23" s="28">
        <v>4.2095430000000003E-2</v>
      </c>
      <c r="J23" s="28">
        <v>0.11753827000000001</v>
      </c>
      <c r="K23" s="28">
        <v>-6.8984899999999988E-2</v>
      </c>
      <c r="L23" s="28">
        <v>0.16786114000000002</v>
      </c>
      <c r="M23" s="28">
        <v>1.866203E-2</v>
      </c>
      <c r="N23" s="28">
        <f t="shared" si="2"/>
        <v>-0.88068558000000008</v>
      </c>
      <c r="O23" s="28">
        <f t="shared" si="0"/>
        <v>-0.73913545999999997</v>
      </c>
      <c r="P23" s="28">
        <f t="shared" si="0"/>
        <v>-0.14155012</v>
      </c>
      <c r="Q23" s="34">
        <f t="shared" si="3"/>
        <v>-84.655316587038556</v>
      </c>
      <c r="R23" s="34">
        <f t="shared" si="1"/>
        <v>-94.611653156725538</v>
      </c>
      <c r="S23" s="35">
        <f t="shared" si="1"/>
        <v>-54.633910844094551</v>
      </c>
    </row>
    <row r="24" spans="1:20" x14ac:dyDescent="0.25">
      <c r="A24" s="375" t="s">
        <v>86</v>
      </c>
      <c r="B24" s="28">
        <v>1337.8981168399998</v>
      </c>
      <c r="C24" s="28">
        <v>60.288847149999995</v>
      </c>
      <c r="D24" s="28">
        <v>1281.1666030199999</v>
      </c>
      <c r="E24" s="28">
        <v>929.31241447000002</v>
      </c>
      <c r="F24" s="28">
        <v>151.72176512999999</v>
      </c>
      <c r="G24" s="28">
        <v>200.13242341999998</v>
      </c>
      <c r="H24" s="28">
        <v>1304.3966132099999</v>
      </c>
      <c r="I24" s="28">
        <v>47.817555369999994</v>
      </c>
      <c r="J24" s="28">
        <v>1257.2905245100001</v>
      </c>
      <c r="K24" s="28">
        <v>889.92551114000003</v>
      </c>
      <c r="L24" s="28">
        <v>202.02694713999998</v>
      </c>
      <c r="M24" s="28">
        <v>165.33806622999998</v>
      </c>
      <c r="N24" s="28">
        <f t="shared" si="2"/>
        <v>-33.501503629999888</v>
      </c>
      <c r="O24" s="28">
        <f t="shared" si="0"/>
        <v>-12.471291780000001</v>
      </c>
      <c r="P24" s="28">
        <f t="shared" si="0"/>
        <v>-23.876078509999843</v>
      </c>
      <c r="Q24" s="28">
        <f t="shared" si="3"/>
        <v>-2.5040399719768942</v>
      </c>
      <c r="R24" s="28">
        <f t="shared" si="1"/>
        <v>-20.685901903168173</v>
      </c>
      <c r="S24" s="30">
        <f t="shared" si="1"/>
        <v>-1.8636201141770812</v>
      </c>
    </row>
    <row r="25" spans="1:20" ht="26.4" x14ac:dyDescent="0.25">
      <c r="A25" s="375" t="s">
        <v>482</v>
      </c>
      <c r="B25" s="28">
        <v>591.34424476999993</v>
      </c>
      <c r="C25" s="28">
        <v>473.55239323000001</v>
      </c>
      <c r="D25" s="28">
        <v>117.79185154</v>
      </c>
      <c r="E25" s="28">
        <v>73.921443189999991</v>
      </c>
      <c r="F25" s="28">
        <v>43.870408349999998</v>
      </c>
      <c r="G25" s="28">
        <v>0</v>
      </c>
      <c r="H25" s="28">
        <v>506.50016864999998</v>
      </c>
      <c r="I25" s="28">
        <v>372.50868733999999</v>
      </c>
      <c r="J25" s="28">
        <v>133.99148131000001</v>
      </c>
      <c r="K25" s="28">
        <v>91.111124140000001</v>
      </c>
      <c r="L25" s="28">
        <v>42.880357170000003</v>
      </c>
      <c r="M25" s="28">
        <v>0</v>
      </c>
      <c r="N25" s="28">
        <f t="shared" si="2"/>
        <v>-84.844076119999954</v>
      </c>
      <c r="O25" s="28">
        <f t="shared" si="0"/>
        <v>-101.04370589000001</v>
      </c>
      <c r="P25" s="28">
        <f t="shared" si="0"/>
        <v>16.199629770000016</v>
      </c>
      <c r="Q25" s="28">
        <f t="shared" si="3"/>
        <v>-14.347662443725923</v>
      </c>
      <c r="R25" s="28">
        <f t="shared" si="1"/>
        <v>-21.337386809683807</v>
      </c>
      <c r="S25" s="30">
        <f t="shared" si="1"/>
        <v>13.752759259836324</v>
      </c>
    </row>
    <row r="26" spans="1:20" s="127" customFormat="1" ht="26.4" x14ac:dyDescent="0.25">
      <c r="A26" s="376" t="s">
        <v>483</v>
      </c>
      <c r="B26" s="124">
        <f>235583692.76/1000000</f>
        <v>235.58369275999999</v>
      </c>
      <c r="C26" s="124">
        <f>117791841.22/1000000</f>
        <v>117.79184121999999</v>
      </c>
      <c r="D26" s="124">
        <f>E26+F26+G26</f>
        <v>117.79185153999998</v>
      </c>
      <c r="E26" s="124">
        <f>73921443.19/1000000</f>
        <v>73.921443189999991</v>
      </c>
      <c r="F26" s="124">
        <f>43870408.35/1000000</f>
        <v>43.870408349999998</v>
      </c>
      <c r="G26" s="124">
        <v>0</v>
      </c>
      <c r="H26" s="124">
        <v>267.98295461999999</v>
      </c>
      <c r="I26" s="124">
        <v>133.99147331</v>
      </c>
      <c r="J26" s="124">
        <v>133.99148131000001</v>
      </c>
      <c r="K26" s="124">
        <v>91.111124140000001</v>
      </c>
      <c r="L26" s="124">
        <v>42.880357170000003</v>
      </c>
      <c r="M26" s="124">
        <v>0</v>
      </c>
      <c r="N26" s="124">
        <f t="shared" si="2"/>
        <v>32.399261859999996</v>
      </c>
      <c r="O26" s="124">
        <f t="shared" si="2"/>
        <v>16.199632090000009</v>
      </c>
      <c r="P26" s="124">
        <f t="shared" si="2"/>
        <v>16.19962977000003</v>
      </c>
      <c r="Q26" s="124">
        <f t="shared" si="3"/>
        <v>13.752760847078932</v>
      </c>
      <c r="R26" s="124">
        <f t="shared" si="3"/>
        <v>13.752762434321696</v>
      </c>
      <c r="S26" s="126">
        <f t="shared" si="3"/>
        <v>13.752759259836353</v>
      </c>
    </row>
    <row r="27" spans="1:20" s="127" customFormat="1" x14ac:dyDescent="0.25">
      <c r="A27" s="376" t="s">
        <v>484</v>
      </c>
      <c r="B27" s="124">
        <f>16262916.08/1000000</f>
        <v>16.26291608</v>
      </c>
      <c r="C27" s="124">
        <v>16.26291608</v>
      </c>
      <c r="D27" s="124"/>
      <c r="E27" s="124"/>
      <c r="F27" s="124"/>
      <c r="G27" s="124"/>
      <c r="H27" s="124">
        <v>4.7071014199999999</v>
      </c>
      <c r="I27" s="124">
        <v>4.7071014199999999</v>
      </c>
      <c r="J27" s="124"/>
      <c r="K27" s="124"/>
      <c r="L27" s="124"/>
      <c r="M27" s="124"/>
      <c r="N27" s="124">
        <f t="shared" si="2"/>
        <v>-11.555814659999999</v>
      </c>
      <c r="O27" s="124">
        <f t="shared" si="2"/>
        <v>-11.555814659999999</v>
      </c>
      <c r="P27" s="124">
        <f t="shared" si="2"/>
        <v>0</v>
      </c>
      <c r="Q27" s="125">
        <f t="shared" si="3"/>
        <v>-71.056227574163316</v>
      </c>
      <c r="R27" s="125">
        <f t="shared" si="3"/>
        <v>-71.056227574163316</v>
      </c>
      <c r="S27" s="126"/>
    </row>
    <row r="28" spans="1:20" s="127" customFormat="1" x14ac:dyDescent="0.25">
      <c r="A28" s="376" t="s">
        <v>485</v>
      </c>
      <c r="B28" s="124">
        <f>339497635.93/1000000</f>
        <v>339.49763593</v>
      </c>
      <c r="C28" s="124">
        <v>339.49763593</v>
      </c>
      <c r="D28" s="124"/>
      <c r="E28" s="124"/>
      <c r="F28" s="124"/>
      <c r="G28" s="124"/>
      <c r="H28" s="124">
        <v>233.81011261</v>
      </c>
      <c r="I28" s="124">
        <v>233.81011261</v>
      </c>
      <c r="J28" s="124"/>
      <c r="K28" s="124"/>
      <c r="L28" s="124"/>
      <c r="M28" s="124"/>
      <c r="N28" s="124">
        <f t="shared" si="2"/>
        <v>-105.68752332</v>
      </c>
      <c r="O28" s="124">
        <f t="shared" si="2"/>
        <v>-105.68752332</v>
      </c>
      <c r="P28" s="124">
        <f t="shared" si="2"/>
        <v>0</v>
      </c>
      <c r="Q28" s="124">
        <f t="shared" si="3"/>
        <v>-31.130562376520174</v>
      </c>
      <c r="R28" s="124">
        <f t="shared" si="3"/>
        <v>-31.130562376520174</v>
      </c>
      <c r="S28" s="126"/>
    </row>
    <row r="29" spans="1:20" ht="26.4" x14ac:dyDescent="0.25">
      <c r="A29" s="375" t="s">
        <v>88</v>
      </c>
      <c r="B29" s="28">
        <v>203.00269222</v>
      </c>
      <c r="C29" s="28">
        <v>105.03800106</v>
      </c>
      <c r="D29" s="28">
        <v>97.964691160000015</v>
      </c>
      <c r="E29" s="28">
        <v>46.502802810000006</v>
      </c>
      <c r="F29" s="28">
        <v>19.63195726</v>
      </c>
      <c r="G29" s="28">
        <v>31.829931089999999</v>
      </c>
      <c r="H29" s="28">
        <v>204.46702313</v>
      </c>
      <c r="I29" s="28">
        <v>81.202210109999996</v>
      </c>
      <c r="J29" s="28">
        <v>123.26481302000001</v>
      </c>
      <c r="K29" s="28">
        <v>58.120725200000003</v>
      </c>
      <c r="L29" s="28">
        <v>15.113301570000001</v>
      </c>
      <c r="M29" s="28">
        <v>50.030786249999998</v>
      </c>
      <c r="N29" s="28">
        <f t="shared" si="2"/>
        <v>1.464330910000001</v>
      </c>
      <c r="O29" s="28">
        <f t="shared" si="2"/>
        <v>-23.835790950000003</v>
      </c>
      <c r="P29" s="28">
        <f t="shared" si="2"/>
        <v>25.30012185999999</v>
      </c>
      <c r="Q29" s="28">
        <f t="shared" si="3"/>
        <v>0.72133570938709113</v>
      </c>
      <c r="R29" s="28">
        <f t="shared" si="3"/>
        <v>-22.692540518154459</v>
      </c>
      <c r="S29" s="30">
        <f t="shared" si="3"/>
        <v>25.825755749771901</v>
      </c>
    </row>
    <row r="30" spans="1:20" s="127" customFormat="1" ht="26.4" x14ac:dyDescent="0.25">
      <c r="A30" s="376" t="s">
        <v>486</v>
      </c>
      <c r="B30" s="124">
        <f>49610668.32/1000000</f>
        <v>49.610668320000002</v>
      </c>
      <c r="C30" s="124">
        <f>2897941.89/1000000</f>
        <v>2.8979418900000002</v>
      </c>
      <c r="D30" s="124">
        <f>E30+F30+G30</f>
        <v>46.712726429999996</v>
      </c>
      <c r="E30" s="124">
        <f>28860761.91/1000000</f>
        <v>28.860761910000001</v>
      </c>
      <c r="F30" s="124">
        <f>1884826.92/1000000</f>
        <v>1.8848269199999999</v>
      </c>
      <c r="G30" s="124">
        <f>15967137.6/1000000</f>
        <v>15.967137599999999</v>
      </c>
      <c r="H30" s="124">
        <v>52.74077759</v>
      </c>
      <c r="I30" s="124">
        <v>1.7948189099999998</v>
      </c>
      <c r="J30" s="124">
        <v>50.945958680000004</v>
      </c>
      <c r="K30" s="124">
        <v>30.575795660000001</v>
      </c>
      <c r="L30" s="124">
        <v>2.898279</v>
      </c>
      <c r="M30" s="124">
        <v>17.471884020000001</v>
      </c>
      <c r="N30" s="124">
        <f t="shared" si="2"/>
        <v>3.1301092699999984</v>
      </c>
      <c r="O30" s="124">
        <f t="shared" si="2"/>
        <v>-1.1031229800000004</v>
      </c>
      <c r="P30" s="124">
        <f t="shared" si="2"/>
        <v>4.2332322500000075</v>
      </c>
      <c r="Q30" s="124">
        <f t="shared" si="3"/>
        <v>6.3093471142337592</v>
      </c>
      <c r="R30" s="124">
        <f t="shared" si="3"/>
        <v>-38.065738440324637</v>
      </c>
      <c r="S30" s="126">
        <f t="shared" si="3"/>
        <v>9.0622675521703826</v>
      </c>
    </row>
    <row r="31" spans="1:20" s="127" customFormat="1" ht="26.4" x14ac:dyDescent="0.25">
      <c r="A31" s="376" t="s">
        <v>487</v>
      </c>
      <c r="B31" s="124">
        <f>153392023.9/1000000</f>
        <v>153.3920239</v>
      </c>
      <c r="C31" s="124">
        <f>102140059.17/1000000</f>
        <v>102.14005917</v>
      </c>
      <c r="D31" s="124">
        <f>E31+F31+G31</f>
        <v>51.251964729999997</v>
      </c>
      <c r="E31" s="124">
        <f>17642040.9/1000000</f>
        <v>17.642040899999998</v>
      </c>
      <c r="F31" s="124">
        <f>17747130.34/1000000</f>
        <v>17.747130339999998</v>
      </c>
      <c r="G31" s="124">
        <f>15862793.49/1000000</f>
        <v>15.86279349</v>
      </c>
      <c r="H31" s="124">
        <v>118.86285255</v>
      </c>
      <c r="I31" s="124">
        <v>69.246635170000005</v>
      </c>
      <c r="J31" s="124">
        <v>49.616217379999995</v>
      </c>
      <c r="K31" s="124">
        <v>26.487430839999998</v>
      </c>
      <c r="L31" s="124">
        <v>9.3435754399999986</v>
      </c>
      <c r="M31" s="124">
        <v>13.7852111</v>
      </c>
      <c r="N31" s="124">
        <f t="shared" si="2"/>
        <v>-34.529171349999999</v>
      </c>
      <c r="O31" s="124">
        <f t="shared" si="2"/>
        <v>-32.893423999999996</v>
      </c>
      <c r="P31" s="124">
        <f t="shared" si="2"/>
        <v>-1.6357473500000026</v>
      </c>
      <c r="Q31" s="124">
        <f t="shared" si="3"/>
        <v>-22.510408606715046</v>
      </c>
      <c r="R31" s="124">
        <f t="shared" si="3"/>
        <v>-32.2042343300906</v>
      </c>
      <c r="S31" s="126">
        <f t="shared" si="3"/>
        <v>-3.1915797933157677</v>
      </c>
    </row>
    <row r="32" spans="1:20" x14ac:dyDescent="0.25">
      <c r="A32" s="375" t="s">
        <v>89</v>
      </c>
      <c r="B32" s="28">
        <v>866.23493173999998</v>
      </c>
      <c r="C32" s="28">
        <v>6.5441446900000004</v>
      </c>
      <c r="D32" s="28">
        <v>859.69078705000004</v>
      </c>
      <c r="E32" s="28">
        <v>682.23495300000002</v>
      </c>
      <c r="F32" s="28">
        <v>78.100656950000001</v>
      </c>
      <c r="G32" s="28">
        <v>99.355177099999992</v>
      </c>
      <c r="H32" s="28">
        <v>937.08164148000003</v>
      </c>
      <c r="I32" s="28">
        <v>5.8600778199999999</v>
      </c>
      <c r="J32" s="28">
        <v>931.22156366000002</v>
      </c>
      <c r="K32" s="28">
        <v>745.93770970000003</v>
      </c>
      <c r="L32" s="28">
        <v>117.74537706</v>
      </c>
      <c r="M32" s="28">
        <v>67.538476900000006</v>
      </c>
      <c r="N32" s="28">
        <f t="shared" si="2"/>
        <v>70.846709740000051</v>
      </c>
      <c r="O32" s="28">
        <f t="shared" si="2"/>
        <v>-0.68406687000000055</v>
      </c>
      <c r="P32" s="28">
        <f t="shared" si="2"/>
        <v>71.530776609999975</v>
      </c>
      <c r="Q32" s="28">
        <f t="shared" si="3"/>
        <v>8.1786946178319937</v>
      </c>
      <c r="R32" s="28">
        <f t="shared" si="3"/>
        <v>-10.453113468675468</v>
      </c>
      <c r="S32" s="30">
        <f t="shared" si="3"/>
        <v>8.3205238078048183</v>
      </c>
    </row>
    <row r="33" spans="1:19" x14ac:dyDescent="0.25">
      <c r="A33" s="375" t="s">
        <v>47</v>
      </c>
      <c r="B33" s="28">
        <v>0.49231821000000003</v>
      </c>
      <c r="C33" s="28">
        <v>0.40709000000000001</v>
      </c>
      <c r="D33" s="28">
        <v>8.5228210000000013E-2</v>
      </c>
      <c r="E33" s="28">
        <v>0</v>
      </c>
      <c r="F33" s="28">
        <v>0</v>
      </c>
      <c r="G33" s="28">
        <v>8.5228210000000013E-2</v>
      </c>
      <c r="H33" s="28">
        <v>0.98768555000000002</v>
      </c>
      <c r="I33" s="28">
        <v>0.87895714000000003</v>
      </c>
      <c r="J33" s="28">
        <v>0.10872841</v>
      </c>
      <c r="K33" s="28">
        <v>0</v>
      </c>
      <c r="L33" s="28">
        <v>0</v>
      </c>
      <c r="M33" s="28">
        <v>0.10872841</v>
      </c>
      <c r="N33" s="28">
        <f t="shared" si="2"/>
        <v>0.49536733999999999</v>
      </c>
      <c r="O33" s="28">
        <f t="shared" si="2"/>
        <v>0.47186714000000002</v>
      </c>
      <c r="P33" s="28">
        <f t="shared" si="2"/>
        <v>2.3500199999999985E-2</v>
      </c>
      <c r="Q33" s="28">
        <f t="shared" si="3"/>
        <v>100.61934129960375</v>
      </c>
      <c r="R33" s="28">
        <f t="shared" si="3"/>
        <v>115.91224053649071</v>
      </c>
      <c r="S33" s="30">
        <f t="shared" si="3"/>
        <v>27.573264767616237</v>
      </c>
    </row>
    <row r="34" spans="1:19" x14ac:dyDescent="0.25">
      <c r="A34" s="375" t="s">
        <v>90</v>
      </c>
      <c r="B34" s="28">
        <v>654.54275555999993</v>
      </c>
      <c r="C34" s="28">
        <v>466.87069941000004</v>
      </c>
      <c r="D34" s="28">
        <v>187.67205614999997</v>
      </c>
      <c r="E34" s="28">
        <v>144.5701402</v>
      </c>
      <c r="F34" s="28">
        <v>39.007024749999999</v>
      </c>
      <c r="G34" s="28">
        <v>4.0948912000000002</v>
      </c>
      <c r="H34" s="28">
        <v>674.72526650999998</v>
      </c>
      <c r="I34" s="28">
        <v>493.64400531000001</v>
      </c>
      <c r="J34" s="28">
        <v>181.0812612</v>
      </c>
      <c r="K34" s="28">
        <v>133.05738516</v>
      </c>
      <c r="L34" s="28">
        <v>39.297494590000007</v>
      </c>
      <c r="M34" s="28">
        <v>8.7263814499999999</v>
      </c>
      <c r="N34" s="28">
        <f t="shared" si="2"/>
        <v>20.182510950000051</v>
      </c>
      <c r="O34" s="28">
        <f t="shared" si="2"/>
        <v>26.773305899999968</v>
      </c>
      <c r="P34" s="28">
        <f t="shared" si="2"/>
        <v>-6.5907949499999745</v>
      </c>
      <c r="Q34" s="28">
        <f t="shared" si="3"/>
        <v>3.0834518873763699</v>
      </c>
      <c r="R34" s="28">
        <f t="shared" si="3"/>
        <v>5.734629723783101</v>
      </c>
      <c r="S34" s="30">
        <f t="shared" si="3"/>
        <v>-3.5118680347020756</v>
      </c>
    </row>
    <row r="35" spans="1:19" x14ac:dyDescent="0.25">
      <c r="A35" s="375" t="s">
        <v>48</v>
      </c>
      <c r="B35" s="28">
        <v>41.182463590000005</v>
      </c>
      <c r="C35" s="28">
        <v>-1.1910366799999998</v>
      </c>
      <c r="D35" s="28">
        <v>42.373500269999994</v>
      </c>
      <c r="E35" s="28">
        <v>35.94169093</v>
      </c>
      <c r="F35" s="28">
        <v>0.35884221999999999</v>
      </c>
      <c r="G35" s="28">
        <v>6.0729671200000004</v>
      </c>
      <c r="H35" s="28">
        <v>15.560524710000001</v>
      </c>
      <c r="I35" s="28">
        <v>0.17476568000000001</v>
      </c>
      <c r="J35" s="50">
        <v>15.385759030000001</v>
      </c>
      <c r="K35" s="28">
        <v>9.1900785500000008</v>
      </c>
      <c r="L35" s="28">
        <v>5.9170970000000003E-2</v>
      </c>
      <c r="M35" s="28">
        <v>6.1365095099999998</v>
      </c>
      <c r="N35" s="28">
        <f t="shared" si="2"/>
        <v>-25.621938880000002</v>
      </c>
      <c r="O35" s="28">
        <f t="shared" si="2"/>
        <v>1.3658023599999998</v>
      </c>
      <c r="P35" s="28">
        <f t="shared" si="2"/>
        <v>-26.987741239999991</v>
      </c>
      <c r="Q35" s="34">
        <f t="shared" si="3"/>
        <v>-62.215653573045508</v>
      </c>
      <c r="R35" s="34">
        <f t="shared" si="3"/>
        <v>-114.67340871483488</v>
      </c>
      <c r="S35" s="35">
        <f t="shared" si="3"/>
        <v>-63.690139044536373</v>
      </c>
    </row>
    <row r="36" spans="1:19" s="377" customFormat="1" ht="26.4" x14ac:dyDescent="0.25">
      <c r="A36" s="375" t="s">
        <v>92</v>
      </c>
      <c r="B36" s="28">
        <v>0</v>
      </c>
      <c r="C36" s="28">
        <v>0</v>
      </c>
      <c r="D36" s="28">
        <v>-0.118071</v>
      </c>
      <c r="E36" s="28">
        <v>-0.118071</v>
      </c>
      <c r="F36" s="28">
        <v>0</v>
      </c>
      <c r="G36" s="28">
        <v>0</v>
      </c>
      <c r="H36" s="28"/>
      <c r="I36" s="28"/>
      <c r="J36" s="28"/>
      <c r="K36" s="28"/>
      <c r="L36" s="28"/>
      <c r="M36" s="28"/>
      <c r="N36" s="28">
        <f t="shared" si="2"/>
        <v>0</v>
      </c>
      <c r="O36" s="28">
        <f t="shared" si="2"/>
        <v>0</v>
      </c>
      <c r="P36" s="28">
        <f t="shared" si="2"/>
        <v>0.118071</v>
      </c>
      <c r="Q36" s="28"/>
      <c r="R36" s="28"/>
      <c r="S36" s="30">
        <f t="shared" si="3"/>
        <v>-100</v>
      </c>
    </row>
    <row r="37" spans="1:19" s="37" customFormat="1" x14ac:dyDescent="0.25">
      <c r="A37" s="31" t="s">
        <v>93</v>
      </c>
      <c r="B37" s="34">
        <v>17239.693575860001</v>
      </c>
      <c r="C37" s="34">
        <v>17200.738955200002</v>
      </c>
      <c r="D37" s="34">
        <v>22004.140293489996</v>
      </c>
      <c r="E37" s="34">
        <v>10073.36121983</v>
      </c>
      <c r="F37" s="34">
        <v>12069.43583248</v>
      </c>
      <c r="G37" s="34">
        <v>2324.4502068500001</v>
      </c>
      <c r="H37" s="34">
        <v>19120.787887849998</v>
      </c>
      <c r="I37" s="34">
        <v>19215.443895</v>
      </c>
      <c r="J37" s="34">
        <v>21333.560346980001</v>
      </c>
      <c r="K37" s="34">
        <v>8506.432424229999</v>
      </c>
      <c r="L37" s="34">
        <v>12966.188553549999</v>
      </c>
      <c r="M37" s="34">
        <v>2981.7611813899998</v>
      </c>
      <c r="N37" s="34">
        <f t="shared" si="2"/>
        <v>1881.0943119899966</v>
      </c>
      <c r="O37" s="34">
        <f t="shared" si="2"/>
        <v>2014.7049397999981</v>
      </c>
      <c r="P37" s="34">
        <f t="shared" si="2"/>
        <v>-670.57994650999535</v>
      </c>
      <c r="Q37" s="34">
        <f t="shared" si="3"/>
        <v>10.911413846844766</v>
      </c>
      <c r="R37" s="34">
        <f t="shared" si="3"/>
        <v>11.712897597291459</v>
      </c>
      <c r="S37" s="35">
        <f t="shared" si="3"/>
        <v>-3.0475171379832915</v>
      </c>
    </row>
    <row r="38" spans="1:19" x14ac:dyDescent="0.25">
      <c r="A38" s="38" t="s">
        <v>95</v>
      </c>
      <c r="B38" s="28">
        <v>16474.50297193</v>
      </c>
      <c r="C38" s="28">
        <v>16474.50297193</v>
      </c>
      <c r="D38" s="28">
        <v>21965.067601829996</v>
      </c>
      <c r="E38" s="28">
        <v>10102.06072485</v>
      </c>
      <c r="F38" s="28">
        <v>11961.25780856</v>
      </c>
      <c r="G38" s="28">
        <v>2364.8560340900003</v>
      </c>
      <c r="H38" s="28">
        <v>17827.21522419</v>
      </c>
      <c r="I38" s="28">
        <v>17827.21522419</v>
      </c>
      <c r="J38" s="28">
        <v>21428.21635413</v>
      </c>
      <c r="K38" s="28">
        <v>8687.6106230400001</v>
      </c>
      <c r="L38" s="28">
        <v>12848.836455930001</v>
      </c>
      <c r="M38" s="28">
        <v>3012.5910873499997</v>
      </c>
      <c r="N38" s="28">
        <f t="shared" si="2"/>
        <v>1352.7122522600002</v>
      </c>
      <c r="O38" s="28">
        <f t="shared" si="2"/>
        <v>1352.7122522600002</v>
      </c>
      <c r="P38" s="28">
        <f t="shared" si="2"/>
        <v>-536.85124769999675</v>
      </c>
      <c r="Q38" s="28">
        <f t="shared" si="3"/>
        <v>8.210944236465366</v>
      </c>
      <c r="R38" s="28">
        <f t="shared" si="3"/>
        <v>8.210944236465366</v>
      </c>
      <c r="S38" s="30">
        <f t="shared" si="3"/>
        <v>-2.4441137966507824</v>
      </c>
    </row>
    <row r="39" spans="1:19" ht="26.4" x14ac:dyDescent="0.25">
      <c r="A39" s="38" t="s">
        <v>96</v>
      </c>
      <c r="B39" s="28">
        <v>1264.12333702</v>
      </c>
      <c r="C39" s="28">
        <v>1263.9175893800002</v>
      </c>
      <c r="D39" s="28">
        <v>0.20574764000000001</v>
      </c>
      <c r="E39" s="28">
        <v>3.4125000000000003E-2</v>
      </c>
      <c r="F39" s="28">
        <v>0.11</v>
      </c>
      <c r="G39" s="28">
        <v>6.1622639999999999E-2</v>
      </c>
      <c r="H39" s="28">
        <v>1268.19254396</v>
      </c>
      <c r="I39" s="28">
        <v>1266.44218396</v>
      </c>
      <c r="J39" s="28">
        <v>1.7503599999999999</v>
      </c>
      <c r="K39" s="28">
        <v>1.67136</v>
      </c>
      <c r="L39" s="28">
        <v>0</v>
      </c>
      <c r="M39" s="28">
        <v>7.9000000000000001E-2</v>
      </c>
      <c r="N39" s="28">
        <f t="shared" si="2"/>
        <v>4.0692069399999582</v>
      </c>
      <c r="O39" s="28">
        <f t="shared" si="2"/>
        <v>2.5245945799997571</v>
      </c>
      <c r="P39" s="28">
        <f t="shared" si="2"/>
        <v>1.5446123599999999</v>
      </c>
      <c r="Q39" s="28">
        <f t="shared" si="3"/>
        <v>0.32189951888655344</v>
      </c>
      <c r="R39" s="28">
        <f t="shared" si="3"/>
        <v>0.19974360679940162</v>
      </c>
      <c r="S39" s="35">
        <f t="shared" si="3"/>
        <v>750.73150778302966</v>
      </c>
    </row>
    <row r="40" spans="1:19" s="79" customFormat="1" ht="26.4" x14ac:dyDescent="0.25">
      <c r="A40" s="38" t="s">
        <v>97</v>
      </c>
      <c r="B40" s="29">
        <v>136.1</v>
      </c>
      <c r="C40" s="29">
        <v>0</v>
      </c>
      <c r="D40" s="29">
        <v>136.1</v>
      </c>
      <c r="E40" s="29">
        <v>0</v>
      </c>
      <c r="F40" s="29">
        <v>136.09</v>
      </c>
      <c r="G40" s="29">
        <v>0.01</v>
      </c>
      <c r="H40" s="29">
        <v>106.70734899999999</v>
      </c>
      <c r="I40" s="29">
        <v>0</v>
      </c>
      <c r="J40" s="29">
        <v>106.70734899999999</v>
      </c>
      <c r="K40" s="29">
        <v>0</v>
      </c>
      <c r="L40" s="29">
        <v>106.58834899999999</v>
      </c>
      <c r="M40" s="29">
        <v>0.11899999999999999</v>
      </c>
      <c r="N40" s="28">
        <f t="shared" si="2"/>
        <v>-29.392651000000001</v>
      </c>
      <c r="O40" s="28">
        <f t="shared" si="2"/>
        <v>0</v>
      </c>
      <c r="P40" s="28">
        <f t="shared" si="2"/>
        <v>-29.392651000000001</v>
      </c>
      <c r="Q40" s="28">
        <f t="shared" si="3"/>
        <v>-21.59636370315944</v>
      </c>
      <c r="R40" s="28"/>
      <c r="S40" s="35">
        <f t="shared" si="3"/>
        <v>-21.59636370315944</v>
      </c>
    </row>
    <row r="41" spans="1:19" x14ac:dyDescent="0.25">
      <c r="A41" s="38" t="s">
        <v>98</v>
      </c>
      <c r="B41" s="28">
        <v>44.339931590000006</v>
      </c>
      <c r="C41" s="28">
        <v>20.498290000000001</v>
      </c>
      <c r="D41" s="28">
        <v>23.841641589999998</v>
      </c>
      <c r="E41" s="28">
        <v>12.2987249</v>
      </c>
      <c r="F41" s="28">
        <v>7.7449002999999994</v>
      </c>
      <c r="G41" s="28">
        <v>3.7980163899999999</v>
      </c>
      <c r="H41" s="28">
        <v>33.13267622</v>
      </c>
      <c r="I41" s="28">
        <v>11.1</v>
      </c>
      <c r="J41" s="28">
        <v>22.032676219999999</v>
      </c>
      <c r="K41" s="28">
        <v>4.9307575999999997</v>
      </c>
      <c r="L41" s="28">
        <v>8.9747444999999999</v>
      </c>
      <c r="M41" s="28">
        <v>8.1271741199999994</v>
      </c>
      <c r="N41" s="28">
        <f t="shared" si="2"/>
        <v>-11.207255370000006</v>
      </c>
      <c r="O41" s="28">
        <f t="shared" si="2"/>
        <v>-9.3982900000000011</v>
      </c>
      <c r="P41" s="28">
        <f t="shared" si="2"/>
        <v>-1.8089653699999992</v>
      </c>
      <c r="Q41" s="28">
        <f t="shared" si="3"/>
        <v>-25.275761527172904</v>
      </c>
      <c r="R41" s="28">
        <f t="shared" si="3"/>
        <v>-45.849141562540098</v>
      </c>
      <c r="S41" s="30">
        <f t="shared" si="3"/>
        <v>-7.5874195288580353</v>
      </c>
    </row>
    <row r="42" spans="1:19" ht="26.4" x14ac:dyDescent="0.25">
      <c r="A42" s="38" t="s">
        <v>500</v>
      </c>
      <c r="B42" s="28">
        <v>26.299913789999998</v>
      </c>
      <c r="C42" s="28">
        <v>147.49268236</v>
      </c>
      <c r="D42" s="28">
        <v>8.8269523799999945</v>
      </c>
      <c r="E42" s="28">
        <v>0.19794851000000002</v>
      </c>
      <c r="F42" s="28">
        <v>52.904470140000001</v>
      </c>
      <c r="G42" s="28">
        <v>7.84017593</v>
      </c>
      <c r="H42" s="28">
        <v>290.58369539</v>
      </c>
      <c r="I42" s="28">
        <v>515.73008775999995</v>
      </c>
      <c r="J42" s="28">
        <v>25.601915780000002</v>
      </c>
      <c r="K42" s="28">
        <v>9.4423191400000004</v>
      </c>
      <c r="L42" s="28">
        <v>55.314676720000001</v>
      </c>
      <c r="M42" s="28">
        <v>14.08613109</v>
      </c>
      <c r="N42" s="28">
        <f t="shared" si="2"/>
        <v>264.2837816</v>
      </c>
      <c r="O42" s="28">
        <f t="shared" si="2"/>
        <v>368.23740539999994</v>
      </c>
      <c r="P42" s="28">
        <f t="shared" si="2"/>
        <v>16.774963400000008</v>
      </c>
      <c r="Q42" s="34">
        <f t="shared" si="3"/>
        <v>1004.884592817519</v>
      </c>
      <c r="R42" s="34">
        <f t="shared" si="3"/>
        <v>249.66486439049663</v>
      </c>
      <c r="S42" s="35">
        <f t="shared" si="3"/>
        <v>190.04252745271998</v>
      </c>
    </row>
    <row r="43" spans="1:19" x14ac:dyDescent="0.25">
      <c r="A43" s="38" t="s">
        <v>100</v>
      </c>
      <c r="B43" s="28">
        <v>-705.67257847000008</v>
      </c>
      <c r="C43" s="28">
        <v>-705.67257847000008</v>
      </c>
      <c r="D43" s="28">
        <v>-129.90164994999998</v>
      </c>
      <c r="E43" s="28">
        <v>-41.230303429999999</v>
      </c>
      <c r="F43" s="28">
        <v>-88.67134652</v>
      </c>
      <c r="G43" s="28">
        <v>-52.115642200000003</v>
      </c>
      <c r="H43" s="28">
        <v>-405.04360091000001</v>
      </c>
      <c r="I43" s="28">
        <v>-405.04360091000001</v>
      </c>
      <c r="J43" s="28">
        <v>-250.74830815000001</v>
      </c>
      <c r="K43" s="28">
        <v>-197.22263555000001</v>
      </c>
      <c r="L43" s="28">
        <v>-53.5256726</v>
      </c>
      <c r="M43" s="28">
        <v>-53.24121117</v>
      </c>
      <c r="N43" s="28">
        <f t="shared" si="2"/>
        <v>300.62897756000007</v>
      </c>
      <c r="O43" s="28">
        <f t="shared" si="2"/>
        <v>300.62897756000007</v>
      </c>
      <c r="P43" s="28">
        <f t="shared" si="2"/>
        <v>-120.84665820000004</v>
      </c>
      <c r="Q43" s="28">
        <f t="shared" si="3"/>
        <v>-42.60176556836133</v>
      </c>
      <c r="R43" s="28">
        <f t="shared" si="3"/>
        <v>-42.60176556836133</v>
      </c>
      <c r="S43" s="30">
        <f t="shared" si="3"/>
        <v>93.029348161870729</v>
      </c>
    </row>
    <row r="44" spans="1:19" s="37" customFormat="1" ht="13.8" thickBot="1" x14ac:dyDescent="0.3">
      <c r="A44" s="378" t="s">
        <v>101</v>
      </c>
      <c r="B44" s="379">
        <v>75439.897767189977</v>
      </c>
      <c r="C44" s="379">
        <v>62830.293111860003</v>
      </c>
      <c r="D44" s="379">
        <v>34578.229590489995</v>
      </c>
      <c r="E44" s="379">
        <v>19308.926125870003</v>
      </c>
      <c r="F44" s="379">
        <v>14131.475321149999</v>
      </c>
      <c r="G44" s="379">
        <v>3600.9351091399999</v>
      </c>
      <c r="H44" s="379">
        <v>78414.300968869997</v>
      </c>
      <c r="I44" s="379">
        <v>65577.561614609993</v>
      </c>
      <c r="J44" s="379">
        <v>34265.66717506</v>
      </c>
      <c r="K44" s="379">
        <v>18047.763029440004</v>
      </c>
      <c r="L44" s="379">
        <v>15144.476821979999</v>
      </c>
      <c r="M44" s="379">
        <v>4194.2491358300003</v>
      </c>
      <c r="N44" s="379">
        <f t="shared" si="2"/>
        <v>2974.4032016800193</v>
      </c>
      <c r="O44" s="379">
        <f t="shared" si="2"/>
        <v>2747.2685027499901</v>
      </c>
      <c r="P44" s="379">
        <f t="shared" si="2"/>
        <v>-312.56241542999487</v>
      </c>
      <c r="Q44" s="379">
        <f t="shared" si="3"/>
        <v>3.9427455361341117</v>
      </c>
      <c r="R44" s="379">
        <f t="shared" si="3"/>
        <v>4.3725221810741743</v>
      </c>
      <c r="S44" s="380">
        <f t="shared" si="3"/>
        <v>-0.90392833621523039</v>
      </c>
    </row>
    <row r="45" spans="1:19" ht="13.8" thickTop="1" x14ac:dyDescent="0.25"/>
  </sheetData>
  <mergeCells count="25">
    <mergeCell ref="N5:N7"/>
    <mergeCell ref="O5:P5"/>
    <mergeCell ref="Q5:Q7"/>
    <mergeCell ref="R5:S5"/>
    <mergeCell ref="K6:M6"/>
    <mergeCell ref="O6:O7"/>
    <mergeCell ref="P6:P7"/>
    <mergeCell ref="R6:R7"/>
    <mergeCell ref="S6:S7"/>
    <mergeCell ref="Q1:S1"/>
    <mergeCell ref="A2:S2"/>
    <mergeCell ref="A4:A7"/>
    <mergeCell ref="B4:G4"/>
    <mergeCell ref="H4:M4"/>
    <mergeCell ref="N4:P4"/>
    <mergeCell ref="Q4:S4"/>
    <mergeCell ref="B5:B7"/>
    <mergeCell ref="C5:G5"/>
    <mergeCell ref="H5:H7"/>
    <mergeCell ref="C6:C7"/>
    <mergeCell ref="D6:D7"/>
    <mergeCell ref="E6:G6"/>
    <mergeCell ref="I6:I7"/>
    <mergeCell ref="J6:J7"/>
    <mergeCell ref="I5:M5"/>
  </mergeCells>
  <pageMargins left="0.39370078740157483" right="0.39370078740157483" top="0.59055118110236227" bottom="0.59055118110236227" header="0.31496062992125984" footer="0.31496062992125984"/>
  <pageSetup paperSize="9" scale="93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1" zoomScaleNormal="100" workbookViewId="0">
      <selection activeCell="I7" sqref="I7"/>
    </sheetView>
  </sheetViews>
  <sheetFormatPr defaultColWidth="8.19921875" defaultRowHeight="13.2" x14ac:dyDescent="0.25"/>
  <cols>
    <col min="1" max="1" width="20.19921875" style="253" customWidth="1"/>
    <col min="2" max="3" width="11.09765625" style="206" bestFit="1" customWidth="1"/>
    <col min="4" max="4" width="5.5" style="206" bestFit="1" customWidth="1"/>
    <col min="5" max="6" width="11.09765625" style="206" bestFit="1" customWidth="1"/>
    <col min="7" max="7" width="4.59765625" style="206" bestFit="1" customWidth="1"/>
    <col min="8" max="8" width="10.5" style="206" customWidth="1"/>
    <col min="9" max="9" width="10.69921875" style="206" customWidth="1"/>
    <col min="10" max="10" width="10.19921875" style="206" customWidth="1"/>
    <col min="11" max="11" width="10.19921875" style="206" bestFit="1" customWidth="1"/>
    <col min="12" max="13" width="9.19921875" style="206" bestFit="1" customWidth="1"/>
    <col min="14" max="14" width="10.19921875" style="206" customWidth="1"/>
    <col min="15" max="15" width="10.09765625" style="206" customWidth="1"/>
    <col min="16" max="16" width="8.69921875" style="206" bestFit="1" customWidth="1"/>
    <col min="17" max="16384" width="8.19921875" style="206"/>
  </cols>
  <sheetData>
    <row r="1" spans="1:15" s="253" customFormat="1" x14ac:dyDescent="0.25">
      <c r="N1" s="409" t="s">
        <v>489</v>
      </c>
      <c r="O1" s="409"/>
    </row>
    <row r="2" spans="1:15" s="253" customFormat="1" ht="12.75" x14ac:dyDescent="0.2"/>
    <row r="3" spans="1:15" s="253" customFormat="1" ht="33" customHeight="1" x14ac:dyDescent="0.25">
      <c r="A3" s="410" t="s">
        <v>501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</row>
    <row r="4" spans="1:15" s="253" customFormat="1" ht="13.5" thickBot="1" x14ac:dyDescent="0.2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1:15" s="253" customFormat="1" ht="13.8" thickTop="1" x14ac:dyDescent="0.25">
      <c r="A5" s="411" t="s">
        <v>304</v>
      </c>
      <c r="B5" s="398" t="s">
        <v>305</v>
      </c>
      <c r="C5" s="398"/>
      <c r="D5" s="398"/>
      <c r="E5" s="398" t="s">
        <v>306</v>
      </c>
      <c r="F5" s="398"/>
      <c r="G5" s="398"/>
      <c r="H5" s="398" t="s">
        <v>307</v>
      </c>
      <c r="I5" s="398"/>
      <c r="J5" s="398" t="s">
        <v>308</v>
      </c>
      <c r="K5" s="222" t="s">
        <v>62</v>
      </c>
      <c r="L5" s="398" t="s">
        <v>309</v>
      </c>
      <c r="M5" s="398"/>
      <c r="N5" s="398" t="s">
        <v>310</v>
      </c>
      <c r="O5" s="399" t="s">
        <v>311</v>
      </c>
    </row>
    <row r="6" spans="1:15" s="253" customFormat="1" ht="24" customHeight="1" x14ac:dyDescent="0.25">
      <c r="A6" s="412"/>
      <c r="B6" s="388"/>
      <c r="C6" s="388"/>
      <c r="D6" s="388"/>
      <c r="E6" s="388"/>
      <c r="F6" s="388"/>
      <c r="G6" s="388"/>
      <c r="H6" s="388"/>
      <c r="I6" s="388"/>
      <c r="J6" s="388"/>
      <c r="K6" s="388" t="s">
        <v>312</v>
      </c>
      <c r="L6" s="388"/>
      <c r="M6" s="388"/>
      <c r="N6" s="388"/>
      <c r="O6" s="389"/>
    </row>
    <row r="7" spans="1:15" s="253" customFormat="1" ht="26.4" x14ac:dyDescent="0.25">
      <c r="A7" s="412"/>
      <c r="B7" s="224" t="s">
        <v>313</v>
      </c>
      <c r="C7" s="224" t="s">
        <v>314</v>
      </c>
      <c r="D7" s="224" t="s">
        <v>232</v>
      </c>
      <c r="E7" s="224" t="s">
        <v>313</v>
      </c>
      <c r="F7" s="224" t="s">
        <v>314</v>
      </c>
      <c r="G7" s="224" t="s">
        <v>232</v>
      </c>
      <c r="H7" s="224" t="s">
        <v>313</v>
      </c>
      <c r="I7" s="224" t="s">
        <v>314</v>
      </c>
      <c r="J7" s="388"/>
      <c r="K7" s="388"/>
      <c r="L7" s="224" t="s">
        <v>315</v>
      </c>
      <c r="M7" s="224" t="s">
        <v>316</v>
      </c>
      <c r="N7" s="388"/>
      <c r="O7" s="389"/>
    </row>
    <row r="8" spans="1:15" s="257" customFormat="1" ht="10.199999999999999" x14ac:dyDescent="0.2">
      <c r="A8" s="255" t="s">
        <v>41</v>
      </c>
      <c r="B8" s="226" t="s">
        <v>67</v>
      </c>
      <c r="C8" s="226" t="s">
        <v>68</v>
      </c>
      <c r="D8" s="226" t="s">
        <v>317</v>
      </c>
      <c r="E8" s="226" t="s">
        <v>69</v>
      </c>
      <c r="F8" s="226" t="s">
        <v>318</v>
      </c>
      <c r="G8" s="226" t="s">
        <v>319</v>
      </c>
      <c r="H8" s="226" t="s">
        <v>318</v>
      </c>
      <c r="I8" s="226" t="s">
        <v>320</v>
      </c>
      <c r="J8" s="226" t="s">
        <v>70</v>
      </c>
      <c r="K8" s="226" t="s">
        <v>71</v>
      </c>
      <c r="L8" s="226" t="s">
        <v>72</v>
      </c>
      <c r="M8" s="226" t="s">
        <v>321</v>
      </c>
      <c r="N8" s="226" t="s">
        <v>322</v>
      </c>
      <c r="O8" s="256" t="s">
        <v>323</v>
      </c>
    </row>
    <row r="9" spans="1:15" x14ac:dyDescent="0.25">
      <c r="A9" s="258" t="s">
        <v>324</v>
      </c>
      <c r="B9" s="259">
        <f>[1]Черн!X7</f>
        <v>1581191.23954</v>
      </c>
      <c r="C9" s="259">
        <f>[1]Черн!Y7</f>
        <v>1516487.2814900002</v>
      </c>
      <c r="D9" s="259">
        <f>C9/B9%</f>
        <v>95.907898018153489</v>
      </c>
      <c r="E9" s="259">
        <f>[1]Черн!AE7</f>
        <v>1675218.06617</v>
      </c>
      <c r="F9" s="259">
        <f>[1]Черн!AF7</f>
        <v>1548562.20172</v>
      </c>
      <c r="G9" s="259">
        <f>F9/E9%</f>
        <v>92.439440153629107</v>
      </c>
      <c r="H9" s="259">
        <f>B9-E9</f>
        <v>-94026.826630000025</v>
      </c>
      <c r="I9" s="259">
        <f>C9-F9</f>
        <v>-32074.920229999814</v>
      </c>
      <c r="J9" s="260">
        <f>[1]Черн!BO7</f>
        <v>43806.600229999996</v>
      </c>
      <c r="K9" s="260">
        <f>[1]Черн!BQ7</f>
        <v>48758.63521</v>
      </c>
      <c r="L9" s="259">
        <f>[1]Черн!BR7</f>
        <v>-14242.790230000006</v>
      </c>
      <c r="M9" s="259">
        <f>[1]Черн!BS7</f>
        <v>-8072.0731499999965</v>
      </c>
      <c r="N9" s="259">
        <f>[1]Черн!BW7</f>
        <v>39000</v>
      </c>
      <c r="O9" s="261">
        <f>[1]Черн!BX7</f>
        <v>18000</v>
      </c>
    </row>
    <row r="10" spans="1:15" x14ac:dyDescent="0.25">
      <c r="A10" s="258" t="s">
        <v>325</v>
      </c>
      <c r="B10" s="259">
        <f>[1]Черн!X8</f>
        <v>706661.00562999991</v>
      </c>
      <c r="C10" s="259">
        <f>[1]Черн!Y8</f>
        <v>689405.33545000001</v>
      </c>
      <c r="D10" s="259">
        <f t="shared" ref="D10:D35" si="0">C10/B10%</f>
        <v>97.558140318692665</v>
      </c>
      <c r="E10" s="259">
        <f>[1]Черн!AE8</f>
        <v>738590.75603000005</v>
      </c>
      <c r="F10" s="259">
        <f>[1]Черн!AF8</f>
        <v>656686.7774100001</v>
      </c>
      <c r="G10" s="259">
        <f t="shared" ref="G10:G35" si="1">F10/E10%</f>
        <v>88.910776644397487</v>
      </c>
      <c r="H10" s="259">
        <f t="shared" ref="H10:I35" si="2">B10-E10</f>
        <v>-31929.750400000135</v>
      </c>
      <c r="I10" s="259">
        <f t="shared" si="2"/>
        <v>32718.558039999916</v>
      </c>
      <c r="J10" s="259">
        <f>[1]Черн!BO8</f>
        <v>66934.622929999998</v>
      </c>
      <c r="K10" s="259">
        <f>[1]Черн!BQ8</f>
        <v>51674.591270000004</v>
      </c>
      <c r="L10" s="259">
        <f>[1]Черн!BR8</f>
        <v>32718.558039999996</v>
      </c>
      <c r="M10" s="259">
        <f>[1]Черн!BS8</f>
        <v>25909.047130000003</v>
      </c>
      <c r="N10" s="259">
        <f>[1]Черн!BW8</f>
        <v>0</v>
      </c>
      <c r="O10" s="261">
        <f>[1]Черн!BX8</f>
        <v>0</v>
      </c>
    </row>
    <row r="11" spans="1:15" x14ac:dyDescent="0.25">
      <c r="A11" s="258" t="s">
        <v>326</v>
      </c>
      <c r="B11" s="259">
        <f>[1]Черн!X9</f>
        <v>424024.27691000002</v>
      </c>
      <c r="C11" s="259">
        <f>[1]Черн!Y9</f>
        <v>425503.77069000003</v>
      </c>
      <c r="D11" s="260">
        <f t="shared" si="0"/>
        <v>100.3489172343578</v>
      </c>
      <c r="E11" s="259">
        <f>[1]Черн!AE9</f>
        <v>434002.07471000002</v>
      </c>
      <c r="F11" s="259">
        <f>[1]Черн!AF9</f>
        <v>422628.13112999999</v>
      </c>
      <c r="G11" s="259">
        <f t="shared" si="1"/>
        <v>97.379288200960772</v>
      </c>
      <c r="H11" s="259">
        <f t="shared" si="2"/>
        <v>-9977.7978000000003</v>
      </c>
      <c r="I11" s="259">
        <f t="shared" si="2"/>
        <v>2875.6395600000396</v>
      </c>
      <c r="J11" s="259">
        <f>[1]Черн!BO9</f>
        <v>10727.61341</v>
      </c>
      <c r="K11" s="259">
        <f>[1]Черн!BQ9</f>
        <v>4632.1909999999998</v>
      </c>
      <c r="L11" s="259">
        <f>[1]Черн!BR9</f>
        <v>1875.6395599999996</v>
      </c>
      <c r="M11" s="259">
        <f>[1]Черн!BS9</f>
        <v>783.25918000000001</v>
      </c>
      <c r="N11" s="259">
        <f>[1]Черн!BW9</f>
        <v>0</v>
      </c>
      <c r="O11" s="261">
        <f>[1]Черн!BX9</f>
        <v>-1000</v>
      </c>
    </row>
    <row r="12" spans="1:15" x14ac:dyDescent="0.25">
      <c r="A12" s="258" t="s">
        <v>327</v>
      </c>
      <c r="B12" s="259">
        <f>[1]Черн!X10</f>
        <v>717516.64774000004</v>
      </c>
      <c r="C12" s="259">
        <f>[1]Черн!Y10</f>
        <v>671427.23270000005</v>
      </c>
      <c r="D12" s="259">
        <f t="shared" si="0"/>
        <v>93.576537187649905</v>
      </c>
      <c r="E12" s="259">
        <f>[1]Черн!AE10</f>
        <v>722818.52378000005</v>
      </c>
      <c r="F12" s="259">
        <f>[1]Черн!AF10</f>
        <v>670428.21125000005</v>
      </c>
      <c r="G12" s="259">
        <f t="shared" si="1"/>
        <v>92.751941074223808</v>
      </c>
      <c r="H12" s="259">
        <f t="shared" si="2"/>
        <v>-5301.8760400000028</v>
      </c>
      <c r="I12" s="259">
        <f t="shared" si="2"/>
        <v>999.02145000000019</v>
      </c>
      <c r="J12" s="259">
        <f>[1]Черн!BO10</f>
        <v>6582.2419800000007</v>
      </c>
      <c r="K12" s="259">
        <f>[1]Черн!BQ10</f>
        <v>731.99118999999996</v>
      </c>
      <c r="L12" s="259">
        <f>[1]Черн!BR10</f>
        <v>999.02145000000019</v>
      </c>
      <c r="M12" s="259">
        <f>[1]Черн!BS10</f>
        <v>304.69626999999997</v>
      </c>
      <c r="N12" s="259">
        <f>[1]Черн!BW10</f>
        <v>0</v>
      </c>
      <c r="O12" s="261">
        <f>[1]Черн!BX10</f>
        <v>0</v>
      </c>
    </row>
    <row r="13" spans="1:15" x14ac:dyDescent="0.25">
      <c r="A13" s="258" t="s">
        <v>328</v>
      </c>
      <c r="B13" s="259">
        <f>[1]Черн!X11</f>
        <v>727238.78385999997</v>
      </c>
      <c r="C13" s="259">
        <f>[1]Черн!Y11</f>
        <v>717531.07286999992</v>
      </c>
      <c r="D13" s="259">
        <f t="shared" si="0"/>
        <v>98.66512743744579</v>
      </c>
      <c r="E13" s="259">
        <f>[1]Черн!AE11</f>
        <v>756885.22023999994</v>
      </c>
      <c r="F13" s="259">
        <f>[1]Черн!AF11</f>
        <v>711871.19139000005</v>
      </c>
      <c r="G13" s="259">
        <f t="shared" si="1"/>
        <v>94.052727197430755</v>
      </c>
      <c r="H13" s="259">
        <f t="shared" si="2"/>
        <v>-29646.43637999997</v>
      </c>
      <c r="I13" s="259">
        <f t="shared" si="2"/>
        <v>5659.8814799998654</v>
      </c>
      <c r="J13" s="259">
        <f>[1]Черн!BO11</f>
        <v>33047.307339999999</v>
      </c>
      <c r="K13" s="259">
        <f>[1]Черн!BQ11</f>
        <v>23851.66359</v>
      </c>
      <c r="L13" s="259">
        <f>[1]Черн!BR11</f>
        <v>5659.88148</v>
      </c>
      <c r="M13" s="259">
        <f>[1]Черн!BS11</f>
        <v>5783.1675900000009</v>
      </c>
      <c r="N13" s="259">
        <f>[1]Черн!BW11</f>
        <v>4000</v>
      </c>
      <c r="O13" s="261">
        <f>[1]Черн!BX11</f>
        <v>0</v>
      </c>
    </row>
    <row r="14" spans="1:15" x14ac:dyDescent="0.25">
      <c r="A14" s="258" t="s">
        <v>329</v>
      </c>
      <c r="B14" s="259">
        <f>[1]Черн!X12</f>
        <v>1446633.4766200003</v>
      </c>
      <c r="C14" s="259">
        <f>[1]Черн!Y12</f>
        <v>1285038.62848</v>
      </c>
      <c r="D14" s="260">
        <f t="shared" si="0"/>
        <v>88.829592930646115</v>
      </c>
      <c r="E14" s="259">
        <f>[1]Черн!AE12</f>
        <v>1624424.78939</v>
      </c>
      <c r="F14" s="259">
        <f>[1]Черн!AF12</f>
        <v>1101969.5377400001</v>
      </c>
      <c r="G14" s="260">
        <f t="shared" si="1"/>
        <v>67.837522853477807</v>
      </c>
      <c r="H14" s="259">
        <f t="shared" si="2"/>
        <v>-177791.31276999973</v>
      </c>
      <c r="I14" s="259">
        <f t="shared" si="2"/>
        <v>183069.0907399999</v>
      </c>
      <c r="J14" s="259">
        <f>[1]Черн!BO12</f>
        <v>381979.45551</v>
      </c>
      <c r="K14" s="259">
        <f>[1]Черн!BQ12</f>
        <v>361879.47941000003</v>
      </c>
      <c r="L14" s="259">
        <f>[1]Черн!BR12</f>
        <v>194019.09073999999</v>
      </c>
      <c r="M14" s="259">
        <f>[1]Черн!BS12</f>
        <v>185919.20215000003</v>
      </c>
      <c r="N14" s="259">
        <f>[1]Черн!BW12</f>
        <v>10950</v>
      </c>
      <c r="O14" s="261">
        <f>[1]Черн!BX12</f>
        <v>10950</v>
      </c>
    </row>
    <row r="15" spans="1:15" x14ac:dyDescent="0.25">
      <c r="A15" s="258" t="s">
        <v>330</v>
      </c>
      <c r="B15" s="259">
        <f>[1]Черн!X13</f>
        <v>694381.06070000003</v>
      </c>
      <c r="C15" s="259">
        <f>[1]Черн!Y13</f>
        <v>678797.55711000005</v>
      </c>
      <c r="D15" s="259">
        <f t="shared" si="0"/>
        <v>97.755770646409857</v>
      </c>
      <c r="E15" s="259">
        <f>[1]Черн!AE13</f>
        <v>741054.36565000005</v>
      </c>
      <c r="F15" s="259">
        <f>[1]Черн!AF13</f>
        <v>705525.74342999991</v>
      </c>
      <c r="G15" s="259">
        <f t="shared" si="1"/>
        <v>95.205665890809911</v>
      </c>
      <c r="H15" s="259">
        <f t="shared" si="2"/>
        <v>-46673.30495000002</v>
      </c>
      <c r="I15" s="259">
        <f t="shared" si="2"/>
        <v>-26728.186319999862</v>
      </c>
      <c r="J15" s="259">
        <f>[1]Черн!BO13</f>
        <v>15737.725960000002</v>
      </c>
      <c r="K15" s="259">
        <f>[1]Черн!BQ13</f>
        <v>9437.5511400000014</v>
      </c>
      <c r="L15" s="259">
        <f>[1]Черн!BR13</f>
        <v>-16038.686319999999</v>
      </c>
      <c r="M15" s="259">
        <f>[1]Черн!BS13</f>
        <v>-21378.735370000002</v>
      </c>
      <c r="N15" s="259">
        <f>[1]Черн!BW13</f>
        <v>30754.069829999997</v>
      </c>
      <c r="O15" s="261">
        <f>[1]Черн!BX13</f>
        <v>3223.5191400000003</v>
      </c>
    </row>
    <row r="16" spans="1:15" x14ac:dyDescent="0.25">
      <c r="A16" s="258" t="s">
        <v>331</v>
      </c>
      <c r="B16" s="259">
        <f>[1]Черн!X14</f>
        <v>525860.21196999995</v>
      </c>
      <c r="C16" s="259">
        <f>[1]Черн!Y14</f>
        <v>520504.83782000002</v>
      </c>
      <c r="D16" s="259">
        <f t="shared" si="0"/>
        <v>98.981597384989939</v>
      </c>
      <c r="E16" s="259">
        <f>[1]Черн!AE14</f>
        <v>532662.37078</v>
      </c>
      <c r="F16" s="259">
        <f>[1]Черн!AF14</f>
        <v>512858.41408999998</v>
      </c>
      <c r="G16" s="259">
        <f t="shared" si="1"/>
        <v>96.282080774543871</v>
      </c>
      <c r="H16" s="259">
        <f t="shared" si="2"/>
        <v>-6802.1588100000517</v>
      </c>
      <c r="I16" s="259">
        <f t="shared" si="2"/>
        <v>7646.4237300000386</v>
      </c>
      <c r="J16" s="259">
        <f>[1]Черн!BO14</f>
        <v>14522.05084</v>
      </c>
      <c r="K16" s="259">
        <f>[1]Черн!BQ14</f>
        <v>18.548999999999999</v>
      </c>
      <c r="L16" s="259">
        <f>[1]Черн!BR14</f>
        <v>7646.4237299999995</v>
      </c>
      <c r="M16" s="259">
        <f>[1]Черн!BS14</f>
        <v>-1116.95901</v>
      </c>
      <c r="N16" s="259">
        <f>[1]Черн!BW14</f>
        <v>0</v>
      </c>
      <c r="O16" s="261">
        <f>[1]Черн!BX14</f>
        <v>0</v>
      </c>
    </row>
    <row r="17" spans="1:15" x14ac:dyDescent="0.25">
      <c r="A17" s="258" t="s">
        <v>332</v>
      </c>
      <c r="B17" s="259">
        <f>[1]Черн!X15</f>
        <v>977988.05059999996</v>
      </c>
      <c r="C17" s="259">
        <f>[1]Черн!Y15</f>
        <v>965725.30748000008</v>
      </c>
      <c r="D17" s="259">
        <f t="shared" si="0"/>
        <v>98.746125465185727</v>
      </c>
      <c r="E17" s="259">
        <f>[1]Черн!AE15</f>
        <v>1035605.4077899999</v>
      </c>
      <c r="F17" s="259">
        <f>[1]Черн!AF15</f>
        <v>891556.43408000004</v>
      </c>
      <c r="G17" s="260">
        <f t="shared" si="1"/>
        <v>86.090360997882115</v>
      </c>
      <c r="H17" s="259">
        <f t="shared" si="2"/>
        <v>-57617.357189999893</v>
      </c>
      <c r="I17" s="259">
        <f t="shared" si="2"/>
        <v>74168.87340000004</v>
      </c>
      <c r="J17" s="259">
        <f>[1]Черн!BO15</f>
        <v>132140.10045999999</v>
      </c>
      <c r="K17" s="259">
        <f>[1]Черн!BQ15</f>
        <v>18481.705600000001</v>
      </c>
      <c r="L17" s="259">
        <f>[1]Черн!BR15</f>
        <v>81787.895399999979</v>
      </c>
      <c r="M17" s="259">
        <f>[1]Черн!BS15</f>
        <v>-5121.2052899999981</v>
      </c>
      <c r="N17" s="259">
        <f>[1]Черн!BW15</f>
        <v>16144.1</v>
      </c>
      <c r="O17" s="261">
        <f>[1]Черн!BX15</f>
        <v>7619.0220000000008</v>
      </c>
    </row>
    <row r="18" spans="1:15" x14ac:dyDescent="0.25">
      <c r="A18" s="258" t="s">
        <v>333</v>
      </c>
      <c r="B18" s="259">
        <f>[1]Черн!X16</f>
        <v>378042.32644999999</v>
      </c>
      <c r="C18" s="259">
        <f>[1]Черн!Y16</f>
        <v>374206.32250999997</v>
      </c>
      <c r="D18" s="259">
        <f t="shared" si="0"/>
        <v>98.985297763871586</v>
      </c>
      <c r="E18" s="259">
        <f>[1]Черн!AE16</f>
        <v>382608.06835999998</v>
      </c>
      <c r="F18" s="259">
        <f>[1]Черн!AF16</f>
        <v>370611.38738000009</v>
      </c>
      <c r="G18" s="259">
        <f t="shared" si="1"/>
        <v>96.864498694075607</v>
      </c>
      <c r="H18" s="259">
        <f t="shared" si="2"/>
        <v>-4565.7419099999825</v>
      </c>
      <c r="I18" s="259">
        <f t="shared" si="2"/>
        <v>3594.9351299998816</v>
      </c>
      <c r="J18" s="259">
        <f>[1]Черн!BO16</f>
        <v>8299.2770400000009</v>
      </c>
      <c r="K18" s="259">
        <f>[1]Черн!BQ16</f>
        <v>5647.6805000000004</v>
      </c>
      <c r="L18" s="259">
        <f>[1]Черн!BR16</f>
        <v>5594.9351300000008</v>
      </c>
      <c r="M18" s="259">
        <f>[1]Черн!BS16</f>
        <v>4398.8418600000005</v>
      </c>
      <c r="N18" s="259">
        <f>[1]Черн!BW16</f>
        <v>2000</v>
      </c>
      <c r="O18" s="261">
        <f>[1]Черн!BX16</f>
        <v>2000</v>
      </c>
    </row>
    <row r="19" spans="1:15" x14ac:dyDescent="0.25">
      <c r="A19" s="258" t="s">
        <v>334</v>
      </c>
      <c r="B19" s="259">
        <f>[1]Черн!X17</f>
        <v>509444.81367999996</v>
      </c>
      <c r="C19" s="259">
        <f>[1]Черн!Y17</f>
        <v>513406.61254</v>
      </c>
      <c r="D19" s="260">
        <f t="shared" si="0"/>
        <v>100.77766987779928</v>
      </c>
      <c r="E19" s="259">
        <f>[1]Черн!AE17</f>
        <v>525728.83627999993</v>
      </c>
      <c r="F19" s="259">
        <f>[1]Черн!AF17</f>
        <v>515825.03370000003</v>
      </c>
      <c r="G19" s="259">
        <f t="shared" si="1"/>
        <v>98.116176649148997</v>
      </c>
      <c r="H19" s="259">
        <f t="shared" si="2"/>
        <v>-16284.022599999967</v>
      </c>
      <c r="I19" s="259">
        <f t="shared" si="2"/>
        <v>-2418.4211600000272</v>
      </c>
      <c r="J19" s="259">
        <f>[1]Черн!BO17</f>
        <v>13195.60908</v>
      </c>
      <c r="K19" s="259">
        <f>[1]Черн!BQ17</f>
        <v>1435.4765500000001</v>
      </c>
      <c r="L19" s="259">
        <f>[1]Черн!BR17</f>
        <v>-418.42115999999987</v>
      </c>
      <c r="M19" s="259">
        <f>[1]Черн!BS17</f>
        <v>-578.61951999999997</v>
      </c>
      <c r="N19" s="259">
        <f>[1]Черн!BW17</f>
        <v>11000</v>
      </c>
      <c r="O19" s="261">
        <f>[1]Черн!BX17</f>
        <v>2000</v>
      </c>
    </row>
    <row r="20" spans="1:15" x14ac:dyDescent="0.25">
      <c r="A20" s="258" t="s">
        <v>335</v>
      </c>
      <c r="B20" s="259">
        <f>[1]Черн!X18</f>
        <v>789222.35626999987</v>
      </c>
      <c r="C20" s="259">
        <f>[1]Черн!Y18</f>
        <v>752959.07095000008</v>
      </c>
      <c r="D20" s="259">
        <f t="shared" si="0"/>
        <v>95.405187773520979</v>
      </c>
      <c r="E20" s="259">
        <f>[1]Черн!AE18</f>
        <v>835948.96479999996</v>
      </c>
      <c r="F20" s="259">
        <f>[1]Черн!AF18</f>
        <v>743624.58421</v>
      </c>
      <c r="G20" s="259">
        <f t="shared" si="1"/>
        <v>88.955739587273911</v>
      </c>
      <c r="H20" s="259">
        <f t="shared" si="2"/>
        <v>-46726.608530000085</v>
      </c>
      <c r="I20" s="259">
        <f t="shared" si="2"/>
        <v>9334.4867400000803</v>
      </c>
      <c r="J20" s="259">
        <f>[1]Черн!BO18</f>
        <v>56842.208039999998</v>
      </c>
      <c r="K20" s="259">
        <f>[1]Черн!BQ18</f>
        <v>54133.320030000003</v>
      </c>
      <c r="L20" s="259">
        <f>[1]Черн!BR18</f>
        <v>23334.48674</v>
      </c>
      <c r="M20" s="259">
        <f>[1]Черн!BS18</f>
        <v>26160.949500000002</v>
      </c>
      <c r="N20" s="259">
        <f>[1]Черн!BW18</f>
        <v>80000</v>
      </c>
      <c r="O20" s="261">
        <f>[1]Черн!BX18</f>
        <v>14000</v>
      </c>
    </row>
    <row r="21" spans="1:15" x14ac:dyDescent="0.25">
      <c r="A21" s="258" t="s">
        <v>336</v>
      </c>
      <c r="B21" s="259">
        <f>[1]Черн!X19</f>
        <v>1032805.0463300003</v>
      </c>
      <c r="C21" s="259">
        <f>[1]Черн!Y19</f>
        <v>972881.16687999992</v>
      </c>
      <c r="D21" s="259">
        <f t="shared" si="0"/>
        <v>94.197948619351195</v>
      </c>
      <c r="E21" s="259">
        <f>[1]Черн!AE19</f>
        <v>1177424.0095299999</v>
      </c>
      <c r="F21" s="259">
        <f>[1]Черн!AF19</f>
        <v>943632.39575999975</v>
      </c>
      <c r="G21" s="260">
        <f t="shared" si="1"/>
        <v>80.143804451267783</v>
      </c>
      <c r="H21" s="259">
        <f t="shared" si="2"/>
        <v>-144618.96319999965</v>
      </c>
      <c r="I21" s="259">
        <f t="shared" si="2"/>
        <v>29248.771120000165</v>
      </c>
      <c r="J21" s="259">
        <f>[1]Черн!BO19</f>
        <v>165536.10162</v>
      </c>
      <c r="K21" s="259">
        <f>[1]Черн!BQ19</f>
        <v>153311.12443</v>
      </c>
      <c r="L21" s="259">
        <f>[1]Черн!BR19</f>
        <v>29248.77111999999</v>
      </c>
      <c r="M21" s="259">
        <f>[1]Черн!BS19</f>
        <v>33783.017369999987</v>
      </c>
      <c r="N21" s="259">
        <f>[1]Черн!BW19</f>
        <v>0</v>
      </c>
      <c r="O21" s="261">
        <f>[1]Черн!BX19</f>
        <v>0</v>
      </c>
    </row>
    <row r="22" spans="1:15" x14ac:dyDescent="0.25">
      <c r="A22" s="258" t="s">
        <v>337</v>
      </c>
      <c r="B22" s="259">
        <f>[1]Черн!X20</f>
        <v>1074618.4986199997</v>
      </c>
      <c r="C22" s="259">
        <f>[1]Черн!Y20</f>
        <v>1072505.2536199999</v>
      </c>
      <c r="D22" s="259">
        <f t="shared" si="0"/>
        <v>99.803349281376256</v>
      </c>
      <c r="E22" s="259">
        <f>[1]Черн!AE20</f>
        <v>1087021.5190699997</v>
      </c>
      <c r="F22" s="259">
        <f>[1]Черн!AF20</f>
        <v>1069823.20799</v>
      </c>
      <c r="G22" s="259">
        <f t="shared" si="1"/>
        <v>98.417849989325546</v>
      </c>
      <c r="H22" s="259">
        <f t="shared" si="2"/>
        <v>-12403.020449999953</v>
      </c>
      <c r="I22" s="259">
        <f t="shared" si="2"/>
        <v>2682.0456299998332</v>
      </c>
      <c r="J22" s="259">
        <f>[1]Черн!BO20</f>
        <v>28559.143390000001</v>
      </c>
      <c r="K22" s="259">
        <f>[1]Черн!BQ20</f>
        <v>5140.1649600000001</v>
      </c>
      <c r="L22" s="259">
        <f>[1]Черн!BR20</f>
        <v>2682.0456300000005</v>
      </c>
      <c r="M22" s="259">
        <f>[1]Черн!BS20</f>
        <v>-1474.3087000000005</v>
      </c>
      <c r="N22" s="259">
        <f>[1]Черн!BW20</f>
        <v>0</v>
      </c>
      <c r="O22" s="261">
        <f>[1]Черн!BX20</f>
        <v>0</v>
      </c>
    </row>
    <row r="23" spans="1:15" x14ac:dyDescent="0.25">
      <c r="A23" s="258" t="s">
        <v>338</v>
      </c>
      <c r="B23" s="259">
        <f>[1]Черн!X21</f>
        <v>1177505.5183999999</v>
      </c>
      <c r="C23" s="259">
        <f>[1]Черн!Y21</f>
        <v>1149338.4625500001</v>
      </c>
      <c r="D23" s="259">
        <f t="shared" si="0"/>
        <v>97.607904556721451</v>
      </c>
      <c r="E23" s="259">
        <f>[1]Черн!AE21</f>
        <v>1243658.4182800001</v>
      </c>
      <c r="F23" s="259">
        <f>[1]Черн!AF21</f>
        <v>1191714.1958300001</v>
      </c>
      <c r="G23" s="259">
        <f t="shared" si="1"/>
        <v>95.823272557279864</v>
      </c>
      <c r="H23" s="259">
        <f t="shared" si="2"/>
        <v>-66152.899880000157</v>
      </c>
      <c r="I23" s="259">
        <f t="shared" si="2"/>
        <v>-42375.733280000044</v>
      </c>
      <c r="J23" s="259">
        <f>[1]Черн!BO21</f>
        <v>19955.794190000001</v>
      </c>
      <c r="K23" s="259">
        <f>[1]Черн!BQ21</f>
        <v>7517.8041700000003</v>
      </c>
      <c r="L23" s="259">
        <f>[1]Черн!BR21</f>
        <v>-43875.73328</v>
      </c>
      <c r="M23" s="259">
        <f>[1]Черн!BS21</f>
        <v>-43126.356999999996</v>
      </c>
      <c r="N23" s="259">
        <f>[1]Черн!BW21</f>
        <v>97000</v>
      </c>
      <c r="O23" s="261">
        <f>[1]Черн!BX21</f>
        <v>-1500</v>
      </c>
    </row>
    <row r="24" spans="1:15" x14ac:dyDescent="0.25">
      <c r="A24" s="258" t="s">
        <v>339</v>
      </c>
      <c r="B24" s="259">
        <f>[1]Черн!X22</f>
        <v>1458094.70358</v>
      </c>
      <c r="C24" s="259">
        <f>[1]Черн!Y22</f>
        <v>1273619.51238</v>
      </c>
      <c r="D24" s="260">
        <f t="shared" si="0"/>
        <v>87.348202366618182</v>
      </c>
      <c r="E24" s="259">
        <f>[1]Черн!AE22</f>
        <v>1571685.51492</v>
      </c>
      <c r="F24" s="259">
        <f>[1]Черн!AF22</f>
        <v>1368134.5478699999</v>
      </c>
      <c r="G24" s="259">
        <f t="shared" si="1"/>
        <v>87.048874274293922</v>
      </c>
      <c r="H24" s="259">
        <f t="shared" si="2"/>
        <v>-113590.81134000001</v>
      </c>
      <c r="I24" s="259">
        <f t="shared" si="2"/>
        <v>-94515.035489999922</v>
      </c>
      <c r="J24" s="259">
        <f>[1]Черн!BO22</f>
        <v>102610.53202</v>
      </c>
      <c r="K24" s="259">
        <f>[1]Черн!BQ22</f>
        <v>4464.2456299999994</v>
      </c>
      <c r="L24" s="259">
        <f>[1]Черн!BR22</f>
        <v>-74515.035489999995</v>
      </c>
      <c r="M24" s="259">
        <f>[1]Черн!BS22</f>
        <v>-15680.922080000002</v>
      </c>
      <c r="N24" s="259">
        <f>[1]Черн!BW22</f>
        <v>20000</v>
      </c>
      <c r="O24" s="261">
        <f>[1]Черн!BX22</f>
        <v>20000</v>
      </c>
    </row>
    <row r="25" spans="1:15" x14ac:dyDescent="0.25">
      <c r="A25" s="258" t="s">
        <v>340</v>
      </c>
      <c r="B25" s="259">
        <f>[1]Черн!X23</f>
        <v>1089837.2118499998</v>
      </c>
      <c r="C25" s="259">
        <f>[1]Черн!Y23</f>
        <v>1097051.3481400001</v>
      </c>
      <c r="D25" s="260">
        <f t="shared" si="0"/>
        <v>100.66194622568946</v>
      </c>
      <c r="E25" s="259">
        <f>[1]Черн!AE23</f>
        <v>1154530.02972</v>
      </c>
      <c r="F25" s="259">
        <f>[1]Черн!AF23</f>
        <v>1112514.0074799999</v>
      </c>
      <c r="G25" s="259">
        <f t="shared" si="1"/>
        <v>96.360768350894276</v>
      </c>
      <c r="H25" s="259">
        <f t="shared" si="2"/>
        <v>-64692.817870000144</v>
      </c>
      <c r="I25" s="259">
        <f t="shared" si="2"/>
        <v>-15462.65933999978</v>
      </c>
      <c r="J25" s="259">
        <f>[1]Черн!BO23</f>
        <v>49063.261149999998</v>
      </c>
      <c r="K25" s="259">
        <f>[1]Черн!BQ23</f>
        <v>26092.269640000002</v>
      </c>
      <c r="L25" s="259">
        <f>[1]Черн!BR23</f>
        <v>-2162.6593400000056</v>
      </c>
      <c r="M25" s="259">
        <f>[1]Черн!BS23</f>
        <v>-17393.784669999997</v>
      </c>
      <c r="N25" s="259">
        <f>[1]Черн!BW23</f>
        <v>27600</v>
      </c>
      <c r="O25" s="261">
        <f>[1]Черн!BX23</f>
        <v>13300</v>
      </c>
    </row>
    <row r="26" spans="1:15" x14ac:dyDescent="0.25">
      <c r="A26" s="258" t="s">
        <v>341</v>
      </c>
      <c r="B26" s="259">
        <f>[1]Черн!X24</f>
        <v>1190658.8602099998</v>
      </c>
      <c r="C26" s="259">
        <f>[1]Черн!Y24</f>
        <v>1139630.6420900002</v>
      </c>
      <c r="D26" s="259">
        <f t="shared" si="0"/>
        <v>95.714287288720158</v>
      </c>
      <c r="E26" s="259">
        <f>[1]Черн!AE24</f>
        <v>1255341.24175</v>
      </c>
      <c r="F26" s="259">
        <f>[1]Черн!AF24</f>
        <v>1092474.6597600002</v>
      </c>
      <c r="G26" s="259">
        <f t="shared" si="1"/>
        <v>87.0261107837932</v>
      </c>
      <c r="H26" s="259">
        <f t="shared" si="2"/>
        <v>-64682.381540000206</v>
      </c>
      <c r="I26" s="259">
        <f t="shared" si="2"/>
        <v>47155.982330000028</v>
      </c>
      <c r="J26" s="259">
        <f>[1]Черн!BO24</f>
        <v>141318.52515</v>
      </c>
      <c r="K26" s="259">
        <f>[1]Черн!BQ24</f>
        <v>104500.92543</v>
      </c>
      <c r="L26" s="259">
        <f>[1]Черн!BR24</f>
        <v>47155.982330000013</v>
      </c>
      <c r="M26" s="259">
        <f>[1]Черн!BS24</f>
        <v>49813.067159999999</v>
      </c>
      <c r="N26" s="259">
        <f>[1]Черн!BW24</f>
        <v>0</v>
      </c>
      <c r="O26" s="261">
        <f>[1]Черн!BX24</f>
        <v>0</v>
      </c>
    </row>
    <row r="27" spans="1:15" x14ac:dyDescent="0.25">
      <c r="A27" s="258" t="s">
        <v>342</v>
      </c>
      <c r="B27" s="259">
        <f>[1]Черн!X25</f>
        <v>403688.61101999995</v>
      </c>
      <c r="C27" s="259">
        <f>[1]Черн!Y25</f>
        <v>401884.72986999992</v>
      </c>
      <c r="D27" s="259">
        <f t="shared" si="0"/>
        <v>99.553150348868613</v>
      </c>
      <c r="E27" s="259">
        <f>[1]Черн!AE25</f>
        <v>413081.42835</v>
      </c>
      <c r="F27" s="259">
        <f>[1]Черн!AF25</f>
        <v>405060.78491999995</v>
      </c>
      <c r="G27" s="259">
        <f t="shared" si="1"/>
        <v>98.058338409926236</v>
      </c>
      <c r="H27" s="259">
        <f t="shared" si="2"/>
        <v>-9392.817330000049</v>
      </c>
      <c r="I27" s="259">
        <f t="shared" si="2"/>
        <v>-3176.0550500000245</v>
      </c>
      <c r="J27" s="259">
        <f>[1]Черн!BO25</f>
        <v>34183.412499999999</v>
      </c>
      <c r="K27" s="259">
        <f>[1]Черн!BQ25</f>
        <v>2106.15</v>
      </c>
      <c r="L27" s="259">
        <f>[1]Черн!BR25</f>
        <v>-3176.0550499999954</v>
      </c>
      <c r="M27" s="259">
        <f>[1]Черн!BS25</f>
        <v>-226.0320099999999</v>
      </c>
      <c r="N27" s="259">
        <f>[1]Черн!BW25</f>
        <v>0</v>
      </c>
      <c r="O27" s="261">
        <f>[1]Черн!BX25</f>
        <v>0</v>
      </c>
    </row>
    <row r="28" spans="1:15" x14ac:dyDescent="0.25">
      <c r="A28" s="258" t="s">
        <v>343</v>
      </c>
      <c r="B28" s="259">
        <f>[1]Черн!X26</f>
        <v>7827123.2733999994</v>
      </c>
      <c r="C28" s="259">
        <f>[1]Черн!Y26</f>
        <v>7812884.6195600005</v>
      </c>
      <c r="D28" s="259">
        <f t="shared" si="0"/>
        <v>99.818085734149761</v>
      </c>
      <c r="E28" s="259">
        <f>[1]Черн!AE26</f>
        <v>8331890.8579799999</v>
      </c>
      <c r="F28" s="259">
        <f>[1]Черн!AF26</f>
        <v>7909412.0301999999</v>
      </c>
      <c r="G28" s="259">
        <f t="shared" si="1"/>
        <v>94.929376356684216</v>
      </c>
      <c r="H28" s="259">
        <f t="shared" si="2"/>
        <v>-504767.58458000049</v>
      </c>
      <c r="I28" s="259">
        <f t="shared" si="2"/>
        <v>-96527.410639999434</v>
      </c>
      <c r="J28" s="260">
        <f>[1]Черн!BO26</f>
        <v>32143.330739999998</v>
      </c>
      <c r="K28" s="260">
        <f>[1]Черн!BQ26</f>
        <v>277628.02480999997</v>
      </c>
      <c r="L28" s="260">
        <f>[1]Черн!BR26</f>
        <v>-36527.410639999995</v>
      </c>
      <c r="M28" s="260">
        <f>[1]Черн!BS26</f>
        <v>193857.18164999998</v>
      </c>
      <c r="N28" s="259">
        <f>[1]Черн!BW26</f>
        <v>1290000</v>
      </c>
      <c r="O28" s="261">
        <f>[1]Черн!BX26</f>
        <v>60000</v>
      </c>
    </row>
    <row r="29" spans="1:15" x14ac:dyDescent="0.25">
      <c r="A29" s="258" t="s">
        <v>344</v>
      </c>
      <c r="B29" s="259">
        <f>[1]Черн!X27</f>
        <v>5958795.8904399993</v>
      </c>
      <c r="C29" s="259">
        <f>[1]Черн!Y27</f>
        <v>5789569.54299</v>
      </c>
      <c r="D29" s="259">
        <f t="shared" si="0"/>
        <v>97.160057995584339</v>
      </c>
      <c r="E29" s="259">
        <f>[1]Черн!AE27</f>
        <v>6239384.4843999995</v>
      </c>
      <c r="F29" s="259">
        <f>[1]Черн!AF27</f>
        <v>5795395.9313500002</v>
      </c>
      <c r="G29" s="259">
        <f t="shared" si="1"/>
        <v>92.884096914365827</v>
      </c>
      <c r="H29" s="259">
        <f t="shared" si="2"/>
        <v>-280588.5939600002</v>
      </c>
      <c r="I29" s="259">
        <f t="shared" si="2"/>
        <v>-5826.3883600002155</v>
      </c>
      <c r="J29" s="259">
        <f>[1]Черн!BO27</f>
        <v>301189.12536000001</v>
      </c>
      <c r="K29" s="259">
        <f>[1]Черн!BQ27</f>
        <v>260112.93596999999</v>
      </c>
      <c r="L29" s="259">
        <f>[1]Черн!BR27</f>
        <v>28867.211639999994</v>
      </c>
      <c r="M29" s="259">
        <f>[1]Черн!BS27</f>
        <v>74695.724759999983</v>
      </c>
      <c r="N29" s="259">
        <f>[1]Черн!BW27</f>
        <v>1631466.665</v>
      </c>
      <c r="O29" s="261">
        <f>[1]Черн!BX27</f>
        <v>20000</v>
      </c>
    </row>
    <row r="30" spans="1:15" x14ac:dyDescent="0.25">
      <c r="A30" s="258" t="s">
        <v>345</v>
      </c>
      <c r="B30" s="259">
        <f>[1]Черн!X28</f>
        <v>1756313.0054899999</v>
      </c>
      <c r="C30" s="259">
        <f>[1]Черн!Y28</f>
        <v>1728823.0769200001</v>
      </c>
      <c r="D30" s="259">
        <f t="shared" si="0"/>
        <v>98.434793315082786</v>
      </c>
      <c r="E30" s="259">
        <f>[1]Черн!AE28</f>
        <v>1822210.01611</v>
      </c>
      <c r="F30" s="259">
        <f>[1]Черн!AF28</f>
        <v>1787773.04721</v>
      </c>
      <c r="G30" s="259">
        <f t="shared" si="1"/>
        <v>98.110153681763038</v>
      </c>
      <c r="H30" s="259">
        <f t="shared" si="2"/>
        <v>-65897.010620000074</v>
      </c>
      <c r="I30" s="259">
        <f t="shared" si="2"/>
        <v>-58949.970289999852</v>
      </c>
      <c r="J30" s="259">
        <f>[1]Черн!BO28</f>
        <v>6862.9381100000001</v>
      </c>
      <c r="K30" s="259">
        <f>[1]Черн!BQ28</f>
        <v>1100.89582</v>
      </c>
      <c r="L30" s="259">
        <f>[1]Черн!BR28</f>
        <v>-15224.970290000001</v>
      </c>
      <c r="M30" s="259">
        <f>[1]Черн!BS28</f>
        <v>-16099.978570000001</v>
      </c>
      <c r="N30" s="259">
        <f>[1]Черн!BW28</f>
        <v>104000</v>
      </c>
      <c r="O30" s="261">
        <f>[1]Черн!BX28</f>
        <v>39000</v>
      </c>
    </row>
    <row r="31" spans="1:15" x14ac:dyDescent="0.25">
      <c r="A31" s="258" t="s">
        <v>346</v>
      </c>
      <c r="B31" s="259">
        <f>[1]Черн!X29</f>
        <v>968728.38537000003</v>
      </c>
      <c r="C31" s="259">
        <f>[1]Черн!Y29</f>
        <v>970367.88861999998</v>
      </c>
      <c r="D31" s="260">
        <f t="shared" si="0"/>
        <v>100.16924282128615</v>
      </c>
      <c r="E31" s="259">
        <f>[1]Черн!AE29</f>
        <v>1068121.93346</v>
      </c>
      <c r="F31" s="259">
        <f>[1]Черн!AF29</f>
        <v>1040255.35422</v>
      </c>
      <c r="G31" s="259">
        <f t="shared" si="1"/>
        <v>97.391067595650711</v>
      </c>
      <c r="H31" s="259">
        <f t="shared" si="2"/>
        <v>-99393.548089999938</v>
      </c>
      <c r="I31" s="259">
        <f t="shared" si="2"/>
        <v>-69887.465599999996</v>
      </c>
      <c r="J31" s="259">
        <f>[1]Черн!BO29</f>
        <v>15606.01649</v>
      </c>
      <c r="K31" s="259">
        <f>[1]Черн!BQ29</f>
        <v>2643.29898</v>
      </c>
      <c r="L31" s="259">
        <f>[1]Черн!BR29</f>
        <v>-49887.465600000003</v>
      </c>
      <c r="M31" s="259">
        <f>[1]Черн!BS29</f>
        <v>-85589.383599999986</v>
      </c>
      <c r="N31" s="259">
        <f>[1]Черн!BW29</f>
        <v>70000</v>
      </c>
      <c r="O31" s="261">
        <f>[1]Черн!BX29</f>
        <v>20000</v>
      </c>
    </row>
    <row r="32" spans="1:15" x14ac:dyDescent="0.25">
      <c r="A32" s="258" t="s">
        <v>347</v>
      </c>
      <c r="B32" s="259">
        <f>[1]Черн!X30</f>
        <v>827130.78586000006</v>
      </c>
      <c r="C32" s="259">
        <f>[1]Черн!Y30</f>
        <v>832071.55561000004</v>
      </c>
      <c r="D32" s="260">
        <f t="shared" si="0"/>
        <v>100.59733839369342</v>
      </c>
      <c r="E32" s="259">
        <f>[1]Черн!AE30</f>
        <v>871087.81923000002</v>
      </c>
      <c r="F32" s="259">
        <f>[1]Черн!AF30</f>
        <v>868324.32437000005</v>
      </c>
      <c r="G32" s="260">
        <f t="shared" si="1"/>
        <v>99.682753587067396</v>
      </c>
      <c r="H32" s="259">
        <f t="shared" si="2"/>
        <v>-43957.033369999961</v>
      </c>
      <c r="I32" s="259">
        <f t="shared" si="2"/>
        <v>-36252.768760000006</v>
      </c>
      <c r="J32" s="259">
        <f>[1]Черн!BO30</f>
        <v>7704.2646100000002</v>
      </c>
      <c r="K32" s="259">
        <f>[1]Черн!BQ30</f>
        <v>627.44568000000004</v>
      </c>
      <c r="L32" s="259">
        <f>[1]Черн!BR30</f>
        <v>726.23124000000007</v>
      </c>
      <c r="M32" s="259">
        <f>[1]Черн!BS30</f>
        <v>-5737.7847000000002</v>
      </c>
      <c r="N32" s="259">
        <f>[1]Черн!BW30</f>
        <v>212247.42499999999</v>
      </c>
      <c r="O32" s="261">
        <f>[1]Черн!BX30</f>
        <v>36979</v>
      </c>
    </row>
    <row r="33" spans="1:16" x14ac:dyDescent="0.25">
      <c r="A33" s="258" t="s">
        <v>348</v>
      </c>
      <c r="B33" s="259">
        <f>[1]Черн!X31</f>
        <v>912614.93046000006</v>
      </c>
      <c r="C33" s="259">
        <f>[1]Черн!Y31</f>
        <v>822775.59832000011</v>
      </c>
      <c r="D33" s="260">
        <f t="shared" si="0"/>
        <v>90.155833622542545</v>
      </c>
      <c r="E33" s="259">
        <f>[1]Черн!AE31</f>
        <v>1252099.5598499998</v>
      </c>
      <c r="F33" s="259">
        <f>[1]Черн!AF31</f>
        <v>1144654.58614</v>
      </c>
      <c r="G33" s="259">
        <f t="shared" si="1"/>
        <v>91.418815471601036</v>
      </c>
      <c r="H33" s="259">
        <f t="shared" si="2"/>
        <v>-339484.62938999978</v>
      </c>
      <c r="I33" s="259">
        <f t="shared" si="2"/>
        <v>-321878.98781999992</v>
      </c>
      <c r="J33" s="259">
        <f>[1]Черн!BO31</f>
        <v>91635.608529999998</v>
      </c>
      <c r="K33" s="259">
        <f>[1]Черн!BQ31</f>
        <v>4125.5708500000001</v>
      </c>
      <c r="L33" s="259">
        <f>[1]Черн!BR31</f>
        <v>-321878.98782000004</v>
      </c>
      <c r="M33" s="259">
        <f>[1]Черн!BS31</f>
        <v>-270456.59707999998</v>
      </c>
      <c r="N33" s="259">
        <f>[1]Черн!BW31</f>
        <v>0</v>
      </c>
      <c r="O33" s="261">
        <f>[1]Черн!BX31</f>
        <v>0</v>
      </c>
    </row>
    <row r="34" spans="1:16" x14ac:dyDescent="0.25">
      <c r="A34" s="258" t="s">
        <v>349</v>
      </c>
      <c r="B34" s="259">
        <f>[1]Черн!X32</f>
        <v>94491.885299999994</v>
      </c>
      <c r="C34" s="259">
        <f>[1]Черн!Y32</f>
        <v>91270.74742</v>
      </c>
      <c r="D34" s="259">
        <f t="shared" si="0"/>
        <v>96.591095764706907</v>
      </c>
      <c r="E34" s="259">
        <f>[1]Черн!AE32</f>
        <v>101611.41856999999</v>
      </c>
      <c r="F34" s="259">
        <f>[1]Черн!AF32</f>
        <v>96294.27162</v>
      </c>
      <c r="G34" s="259">
        <f t="shared" si="1"/>
        <v>94.767175751673008</v>
      </c>
      <c r="H34" s="259">
        <f t="shared" si="2"/>
        <v>-7119.5332699999999</v>
      </c>
      <c r="I34" s="259">
        <f t="shared" si="2"/>
        <v>-5023.5241999999998</v>
      </c>
      <c r="J34" s="259">
        <f>[1]Черн!BO32</f>
        <v>19042.350710000002</v>
      </c>
      <c r="K34" s="259">
        <f>[1]Черн!BQ32</f>
        <v>6.2</v>
      </c>
      <c r="L34" s="259">
        <f>[1]Черн!BR32</f>
        <v>-5023.5241999999962</v>
      </c>
      <c r="M34" s="259">
        <f>[1]Черн!BS32</f>
        <v>-430.03412000000003</v>
      </c>
      <c r="N34" s="259">
        <f>[1]Черн!BW32</f>
        <v>0</v>
      </c>
      <c r="O34" s="261">
        <f>[1]Черн!BX32</f>
        <v>0</v>
      </c>
    </row>
    <row r="35" spans="1:16" s="215" customFormat="1" ht="13.8" thickBot="1" x14ac:dyDescent="0.3">
      <c r="A35" s="262" t="s">
        <v>350</v>
      </c>
      <c r="B35" s="263">
        <f>[1]Черн!X33</f>
        <v>35250610.856300004</v>
      </c>
      <c r="C35" s="263">
        <f>[1]Черн!Y33</f>
        <v>34265667.175059997</v>
      </c>
      <c r="D35" s="263">
        <f t="shared" si="0"/>
        <v>97.205881948386207</v>
      </c>
      <c r="E35" s="263">
        <f>[1]Черн!AE33</f>
        <v>37594695.695199989</v>
      </c>
      <c r="F35" s="263">
        <f>[1]Черн!AF33</f>
        <v>34677610.992249995</v>
      </c>
      <c r="G35" s="263">
        <f t="shared" si="1"/>
        <v>92.240701383513425</v>
      </c>
      <c r="H35" s="263">
        <f t="shared" si="2"/>
        <v>-2344084.838899985</v>
      </c>
      <c r="I35" s="263">
        <f t="shared" si="2"/>
        <v>-411943.81718999892</v>
      </c>
      <c r="J35" s="263">
        <f>[1]Черн!BO33</f>
        <v>1799225.2173899997</v>
      </c>
      <c r="K35" s="263">
        <f>[1]Черн!BQ33</f>
        <v>1430059.8908599997</v>
      </c>
      <c r="L35" s="263">
        <f>[1]Черн!BR33</f>
        <v>-120655.56519000004</v>
      </c>
      <c r="M35" s="263">
        <f>[1]Черн!BS33</f>
        <v>108925.37975000011</v>
      </c>
      <c r="N35" s="263">
        <f>[1]Черн!BW33</f>
        <v>3646162.2598299999</v>
      </c>
      <c r="O35" s="264">
        <f>[1]Черн!BX33</f>
        <v>264571.54113999999</v>
      </c>
      <c r="P35" s="206"/>
    </row>
    <row r="36" spans="1:16" ht="13.8" thickTop="1" x14ac:dyDescent="0.25"/>
  </sheetData>
  <sheetProtection sheet="1" objects="1" scenarios="1"/>
  <mergeCells count="11">
    <mergeCell ref="K6:K7"/>
    <mergeCell ref="N1:O1"/>
    <mergeCell ref="A3:O3"/>
    <mergeCell ref="A5:A7"/>
    <mergeCell ref="B5:D6"/>
    <mergeCell ref="E5:G6"/>
    <mergeCell ref="H5:I6"/>
    <mergeCell ref="J5:J7"/>
    <mergeCell ref="L5:M6"/>
    <mergeCell ref="N5:N7"/>
    <mergeCell ref="O5:O7"/>
  </mergeCells>
  <pageMargins left="0.39370078740157483" right="0.39370078740157483" top="0.98425196850393704" bottom="0.59055118110236227" header="0.70866141732283472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opLeftCell="A4" workbookViewId="0">
      <pane xSplit="1" ySplit="5" topLeftCell="D9" activePane="bottomRight" state="frozen"/>
      <selection activeCell="A4" sqref="A4"/>
      <selection pane="topRight" activeCell="B4" sqref="B4"/>
      <selection pane="bottomLeft" activeCell="A9" sqref="A9"/>
      <selection pane="bottomRight" activeCell="D18" sqref="D18"/>
    </sheetView>
  </sheetViews>
  <sheetFormatPr defaultColWidth="8.19921875" defaultRowHeight="13.2" x14ac:dyDescent="0.25"/>
  <cols>
    <col min="1" max="1" width="19.19921875" style="253" customWidth="1"/>
    <col min="2" max="3" width="11.09765625" style="206" bestFit="1" customWidth="1"/>
    <col min="4" max="4" width="5.5" style="206" bestFit="1" customWidth="1"/>
    <col min="5" max="6" width="11.09765625" style="206" bestFit="1" customWidth="1"/>
    <col min="7" max="7" width="5.5" style="206" bestFit="1" customWidth="1"/>
    <col min="8" max="9" width="10.19921875" style="206" bestFit="1" customWidth="1"/>
    <col min="10" max="10" width="5.8984375" style="206" customWidth="1"/>
    <col min="11" max="11" width="5.3984375" style="206" customWidth="1"/>
    <col min="12" max="12" width="4.59765625" style="206" customWidth="1"/>
    <col min="13" max="14" width="11.09765625" style="206" bestFit="1" customWidth="1"/>
    <col min="15" max="15" width="5.19921875" style="206" customWidth="1"/>
    <col min="16" max="17" width="11.09765625" style="206" bestFit="1" customWidth="1"/>
    <col min="18" max="18" width="5.5" style="206" customWidth="1"/>
    <col min="19" max="19" width="5.19921875" style="206" bestFit="1" customWidth="1"/>
    <col min="20" max="20" width="4.59765625" style="206" bestFit="1" customWidth="1"/>
    <col min="21" max="16384" width="8.19921875" style="206"/>
  </cols>
  <sheetData>
    <row r="1" spans="1:20" x14ac:dyDescent="0.25">
      <c r="T1" s="265" t="s">
        <v>490</v>
      </c>
    </row>
    <row r="3" spans="1:20" s="253" customFormat="1" ht="36.75" customHeight="1" x14ac:dyDescent="0.25">
      <c r="A3" s="413" t="s">
        <v>351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</row>
    <row r="4" spans="1:20" s="253" customFormat="1" ht="13.5" thickBot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20" s="253" customFormat="1" ht="13.8" thickTop="1" x14ac:dyDescent="0.25">
      <c r="A5" s="396" t="s">
        <v>304</v>
      </c>
      <c r="B5" s="414" t="s">
        <v>305</v>
      </c>
      <c r="C5" s="414"/>
      <c r="D5" s="414"/>
      <c r="E5" s="398" t="s">
        <v>62</v>
      </c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9"/>
    </row>
    <row r="6" spans="1:20" s="253" customFormat="1" x14ac:dyDescent="0.25">
      <c r="A6" s="397"/>
      <c r="B6" s="415"/>
      <c r="C6" s="415"/>
      <c r="D6" s="415"/>
      <c r="E6" s="388" t="s">
        <v>352</v>
      </c>
      <c r="F6" s="388"/>
      <c r="G6" s="388"/>
      <c r="H6" s="388" t="s">
        <v>353</v>
      </c>
      <c r="I6" s="388"/>
      <c r="J6" s="388"/>
      <c r="K6" s="388"/>
      <c r="L6" s="388"/>
      <c r="M6" s="388" t="s">
        <v>502</v>
      </c>
      <c r="N6" s="388"/>
      <c r="O6" s="388"/>
      <c r="P6" s="388" t="s">
        <v>353</v>
      </c>
      <c r="Q6" s="388"/>
      <c r="R6" s="388"/>
      <c r="S6" s="388"/>
      <c r="T6" s="389"/>
    </row>
    <row r="7" spans="1:20" s="253" customFormat="1" x14ac:dyDescent="0.25">
      <c r="A7" s="397"/>
      <c r="B7" s="415"/>
      <c r="C7" s="415"/>
      <c r="D7" s="415"/>
      <c r="E7" s="388"/>
      <c r="F7" s="388"/>
      <c r="G7" s="388"/>
      <c r="H7" s="388" t="s">
        <v>354</v>
      </c>
      <c r="I7" s="388"/>
      <c r="J7" s="388"/>
      <c r="K7" s="388" t="s">
        <v>355</v>
      </c>
      <c r="L7" s="388"/>
      <c r="M7" s="388"/>
      <c r="N7" s="388"/>
      <c r="O7" s="388"/>
      <c r="P7" s="388" t="s">
        <v>356</v>
      </c>
      <c r="Q7" s="388"/>
      <c r="R7" s="388"/>
      <c r="S7" s="388" t="s">
        <v>357</v>
      </c>
      <c r="T7" s="389"/>
    </row>
    <row r="8" spans="1:20" s="266" customFormat="1" ht="24" x14ac:dyDescent="0.2">
      <c r="A8" s="397"/>
      <c r="B8" s="11" t="s">
        <v>313</v>
      </c>
      <c r="C8" s="11" t="s">
        <v>314</v>
      </c>
      <c r="D8" s="11" t="s">
        <v>232</v>
      </c>
      <c r="E8" s="11" t="s">
        <v>313</v>
      </c>
      <c r="F8" s="11" t="s">
        <v>314</v>
      </c>
      <c r="G8" s="11" t="s">
        <v>232</v>
      </c>
      <c r="H8" s="11" t="s">
        <v>313</v>
      </c>
      <c r="I8" s="11" t="s">
        <v>314</v>
      </c>
      <c r="J8" s="11" t="s">
        <v>232</v>
      </c>
      <c r="K8" s="11" t="s">
        <v>358</v>
      </c>
      <c r="L8" s="11" t="s">
        <v>359</v>
      </c>
      <c r="M8" s="11" t="s">
        <v>313</v>
      </c>
      <c r="N8" s="11" t="s">
        <v>314</v>
      </c>
      <c r="O8" s="11" t="s">
        <v>232</v>
      </c>
      <c r="P8" s="11" t="s">
        <v>313</v>
      </c>
      <c r="Q8" s="11" t="s">
        <v>314</v>
      </c>
      <c r="R8" s="11" t="s">
        <v>232</v>
      </c>
      <c r="S8" s="11" t="s">
        <v>358</v>
      </c>
      <c r="T8" s="12" t="s">
        <v>359</v>
      </c>
    </row>
    <row r="9" spans="1:20" s="270" customFormat="1" ht="10.199999999999999" x14ac:dyDescent="0.2">
      <c r="A9" s="267" t="s">
        <v>41</v>
      </c>
      <c r="B9" s="226" t="s">
        <v>67</v>
      </c>
      <c r="C9" s="226" t="s">
        <v>68</v>
      </c>
      <c r="D9" s="226" t="s">
        <v>360</v>
      </c>
      <c r="E9" s="226" t="s">
        <v>69</v>
      </c>
      <c r="F9" s="226" t="s">
        <v>318</v>
      </c>
      <c r="G9" s="226" t="s">
        <v>361</v>
      </c>
      <c r="H9" s="226" t="s">
        <v>362</v>
      </c>
      <c r="I9" s="226" t="s">
        <v>320</v>
      </c>
      <c r="J9" s="226" t="s">
        <v>363</v>
      </c>
      <c r="K9" s="226" t="s">
        <v>364</v>
      </c>
      <c r="L9" s="226" t="s">
        <v>365</v>
      </c>
      <c r="M9" s="226" t="s">
        <v>70</v>
      </c>
      <c r="N9" s="226" t="s">
        <v>71</v>
      </c>
      <c r="O9" s="226" t="s">
        <v>366</v>
      </c>
      <c r="P9" s="226" t="s">
        <v>72</v>
      </c>
      <c r="Q9" s="226" t="s">
        <v>321</v>
      </c>
      <c r="R9" s="226" t="s">
        <v>367</v>
      </c>
      <c r="S9" s="268" t="s">
        <v>368</v>
      </c>
      <c r="T9" s="269" t="s">
        <v>369</v>
      </c>
    </row>
    <row r="10" spans="1:20" x14ac:dyDescent="0.25">
      <c r="A10" s="271" t="s">
        <v>324</v>
      </c>
      <c r="B10" s="259">
        <f>[1]Черн!X7</f>
        <v>1581191.23954</v>
      </c>
      <c r="C10" s="259">
        <f>[1]Черн!Y7</f>
        <v>1516487.2814900002</v>
      </c>
      <c r="D10" s="259">
        <f>C10/B10%</f>
        <v>95.907898018153489</v>
      </c>
      <c r="E10" s="259">
        <f>[1]Черн!AX7</f>
        <v>452382.90015999996</v>
      </c>
      <c r="F10" s="259">
        <f>[1]Черн!BB7</f>
        <v>434312.79659000004</v>
      </c>
      <c r="G10" s="259">
        <f>F10/E10%</f>
        <v>96.005573251418483</v>
      </c>
      <c r="H10" s="259">
        <f>[1]Черн!CK7</f>
        <v>250287.10168000002</v>
      </c>
      <c r="I10" s="259">
        <f>[1]Черн!CM7</f>
        <v>235661.86304</v>
      </c>
      <c r="J10" s="259">
        <f>I10/H10%</f>
        <v>94.156615126456316</v>
      </c>
      <c r="K10" s="259">
        <f>H10/E10%</f>
        <v>55.326384262419701</v>
      </c>
      <c r="L10" s="259">
        <f>I10/F10%</f>
        <v>54.260861040774152</v>
      </c>
      <c r="M10" s="259">
        <f>[1]Черн!CG7</f>
        <v>1128808.33938</v>
      </c>
      <c r="N10" s="259">
        <f>[1]Черн!CH7</f>
        <v>1082174.4849</v>
      </c>
      <c r="O10" s="259">
        <f>N10/M10%</f>
        <v>95.868753547159855</v>
      </c>
      <c r="P10" s="259">
        <f>[1]Черн!AR7</f>
        <v>1128601.36628</v>
      </c>
      <c r="Q10" s="259">
        <f>[1]Черн!AS7</f>
        <v>1081945.9569300001</v>
      </c>
      <c r="R10" s="259">
        <f>Q10/P10%</f>
        <v>95.866086047389658</v>
      </c>
      <c r="S10" s="259">
        <f>P10/B10%</f>
        <v>71.376651859539294</v>
      </c>
      <c r="T10" s="261">
        <f>Q10/C10%</f>
        <v>71.345534521526062</v>
      </c>
    </row>
    <row r="11" spans="1:20" x14ac:dyDescent="0.25">
      <c r="A11" s="271" t="s">
        <v>325</v>
      </c>
      <c r="B11" s="259">
        <f>[1]Черн!X8</f>
        <v>706661.00562999991</v>
      </c>
      <c r="C11" s="259">
        <f>[1]Черн!Y8</f>
        <v>689405.33545000001</v>
      </c>
      <c r="D11" s="259">
        <f t="shared" ref="D11:D36" si="0">C11/B11%</f>
        <v>97.558140318692665</v>
      </c>
      <c r="E11" s="259">
        <f>[1]Черн!AX8</f>
        <v>85858.642030000003</v>
      </c>
      <c r="F11" s="259">
        <f>[1]Черн!BB8</f>
        <v>89768.896970000002</v>
      </c>
      <c r="G11" s="260">
        <f t="shared" ref="G11:G36" si="1">F11/E11%</f>
        <v>104.55429395055388</v>
      </c>
      <c r="H11" s="259">
        <f>[1]Черн!CK8</f>
        <v>39287.457999999999</v>
      </c>
      <c r="I11" s="259">
        <f>[1]Черн!CM8</f>
        <v>38463.373930000002</v>
      </c>
      <c r="J11" s="259">
        <f t="shared" ref="J11:J36" si="2">I11/H11%</f>
        <v>97.902424560021174</v>
      </c>
      <c r="K11" s="259">
        <f t="shared" ref="K11:L36" si="3">H11/E11%</f>
        <v>45.758303498758472</v>
      </c>
      <c r="L11" s="259">
        <f t="shared" si="3"/>
        <v>42.847105432134398</v>
      </c>
      <c r="M11" s="259">
        <f>[1]Черн!CG8</f>
        <v>620802.36360000004</v>
      </c>
      <c r="N11" s="259">
        <f>[1]Черн!CH8</f>
        <v>599636.43848000001</v>
      </c>
      <c r="O11" s="259">
        <f t="shared" ref="O11:O36" si="4">N11/M11%</f>
        <v>96.590553393311851</v>
      </c>
      <c r="P11" s="259">
        <f>[1]Черн!AR8</f>
        <v>623048.69929000002</v>
      </c>
      <c r="Q11" s="259">
        <f>[1]Черн!AS8</f>
        <v>601818.80860999995</v>
      </c>
      <c r="R11" s="259">
        <f t="shared" ref="R11:R36" si="5">Q11/P11%</f>
        <v>96.592579247145082</v>
      </c>
      <c r="S11" s="260">
        <f t="shared" ref="S11:T36" si="6">P11/B11%</f>
        <v>88.167975072367526</v>
      </c>
      <c r="T11" s="272">
        <f t="shared" si="6"/>
        <v>87.295351176412183</v>
      </c>
    </row>
    <row r="12" spans="1:20" x14ac:dyDescent="0.25">
      <c r="A12" s="271" t="s">
        <v>326</v>
      </c>
      <c r="B12" s="259">
        <f>[1]Черн!X9</f>
        <v>424024.27691000002</v>
      </c>
      <c r="C12" s="259">
        <f>[1]Черн!Y9</f>
        <v>425503.77069000003</v>
      </c>
      <c r="D12" s="260">
        <f t="shared" si="0"/>
        <v>100.3489172343578</v>
      </c>
      <c r="E12" s="259">
        <f>[1]Черн!AX9</f>
        <v>74168.86</v>
      </c>
      <c r="F12" s="259">
        <f>[1]Черн!BB9</f>
        <v>76356.37393999999</v>
      </c>
      <c r="G12" s="260">
        <f t="shared" si="1"/>
        <v>102.94936977594101</v>
      </c>
      <c r="H12" s="259">
        <f>[1]Черн!CK9</f>
        <v>37638.400000000001</v>
      </c>
      <c r="I12" s="259">
        <f>[1]Черн!CM9</f>
        <v>37854.386960000003</v>
      </c>
      <c r="J12" s="260">
        <f t="shared" si="2"/>
        <v>100.5738473473899</v>
      </c>
      <c r="K12" s="259">
        <f t="shared" si="3"/>
        <v>50.746903754486723</v>
      </c>
      <c r="L12" s="259">
        <f t="shared" si="3"/>
        <v>49.575935847537195</v>
      </c>
      <c r="M12" s="259">
        <f>[1]Черн!CG9</f>
        <v>349855.41691000003</v>
      </c>
      <c r="N12" s="259">
        <f>[1]Черн!CH9</f>
        <v>349147.39675000001</v>
      </c>
      <c r="O12" s="259">
        <f t="shared" si="4"/>
        <v>99.797624925675464</v>
      </c>
      <c r="P12" s="259">
        <f>[1]Черн!AR9</f>
        <v>349734.77265</v>
      </c>
      <c r="Q12" s="259">
        <f>[1]Черн!AS9</f>
        <v>349026.75249000004</v>
      </c>
      <c r="R12" s="259">
        <f t="shared" si="5"/>
        <v>99.797555114512875</v>
      </c>
      <c r="S12" s="259">
        <f t="shared" si="6"/>
        <v>82.479893651049579</v>
      </c>
      <c r="T12" s="261">
        <f t="shared" si="6"/>
        <v>82.026711989888057</v>
      </c>
    </row>
    <row r="13" spans="1:20" x14ac:dyDescent="0.25">
      <c r="A13" s="271" t="s">
        <v>327</v>
      </c>
      <c r="B13" s="259">
        <f>[1]Черн!X10</f>
        <v>717516.64774000004</v>
      </c>
      <c r="C13" s="259">
        <f>[1]Черн!Y10</f>
        <v>671427.23270000005</v>
      </c>
      <c r="D13" s="259">
        <f t="shared" si="0"/>
        <v>93.576537187649905</v>
      </c>
      <c r="E13" s="259">
        <f>[1]Черн!AX10</f>
        <v>98422.54</v>
      </c>
      <c r="F13" s="259">
        <f>[1]Черн!BB10</f>
        <v>97952.843960000013</v>
      </c>
      <c r="G13" s="259">
        <f t="shared" si="1"/>
        <v>99.522775941364671</v>
      </c>
      <c r="H13" s="259">
        <f>[1]Черн!CK10</f>
        <v>48481.95</v>
      </c>
      <c r="I13" s="259">
        <f>[1]Черн!CM10</f>
        <v>49019.022219999999</v>
      </c>
      <c r="J13" s="260">
        <f t="shared" si="2"/>
        <v>101.10777767808433</v>
      </c>
      <c r="K13" s="259">
        <f t="shared" si="3"/>
        <v>49.258990877496153</v>
      </c>
      <c r="L13" s="259">
        <f t="shared" si="3"/>
        <v>50.043490559618043</v>
      </c>
      <c r="M13" s="259">
        <f>[1]Черн!CG10</f>
        <v>619094.10774000001</v>
      </c>
      <c r="N13" s="259">
        <f>[1]Черн!CH10</f>
        <v>573474.38874000008</v>
      </c>
      <c r="O13" s="259">
        <f t="shared" si="4"/>
        <v>92.631214151506882</v>
      </c>
      <c r="P13" s="259">
        <f>[1]Черн!AR10</f>
        <v>619022.57846000011</v>
      </c>
      <c r="Q13" s="259">
        <f>[1]Черн!AS10</f>
        <v>573395.84446000005</v>
      </c>
      <c r="R13" s="259">
        <f t="shared" si="5"/>
        <v>92.629229435619308</v>
      </c>
      <c r="S13" s="259">
        <f t="shared" si="6"/>
        <v>86.272922086165963</v>
      </c>
      <c r="T13" s="261">
        <f t="shared" si="6"/>
        <v>85.399551363773568</v>
      </c>
    </row>
    <row r="14" spans="1:20" x14ac:dyDescent="0.25">
      <c r="A14" s="271" t="s">
        <v>328</v>
      </c>
      <c r="B14" s="259">
        <f>[1]Черн!X11</f>
        <v>727238.78385999997</v>
      </c>
      <c r="C14" s="259">
        <f>[1]Черн!Y11</f>
        <v>717531.07286999992</v>
      </c>
      <c r="D14" s="259">
        <f t="shared" si="0"/>
        <v>98.66512743744579</v>
      </c>
      <c r="E14" s="259">
        <f>[1]Черн!AX11</f>
        <v>128030.617</v>
      </c>
      <c r="F14" s="259">
        <f>[1]Черн!BB11</f>
        <v>125693.54962000001</v>
      </c>
      <c r="G14" s="259">
        <f t="shared" si="1"/>
        <v>98.174602735844033</v>
      </c>
      <c r="H14" s="259">
        <f>[1]Черн!CK11</f>
        <v>56499.3</v>
      </c>
      <c r="I14" s="259">
        <f>[1]Черн!CM11</f>
        <v>51206.754759999996</v>
      </c>
      <c r="J14" s="260">
        <f t="shared" si="2"/>
        <v>90.632547235098471</v>
      </c>
      <c r="K14" s="260">
        <f t="shared" si="3"/>
        <v>44.129522550063164</v>
      </c>
      <c r="L14" s="260">
        <f t="shared" si="3"/>
        <v>40.739365635555352</v>
      </c>
      <c r="M14" s="259">
        <f>[1]Черн!CG11</f>
        <v>599208.16686</v>
      </c>
      <c r="N14" s="259">
        <f>[1]Черн!CH11</f>
        <v>591837.52324999997</v>
      </c>
      <c r="O14" s="259">
        <f t="shared" si="4"/>
        <v>98.769936056008049</v>
      </c>
      <c r="P14" s="259">
        <f>[1]Черн!AR11</f>
        <v>597071.33008999994</v>
      </c>
      <c r="Q14" s="259">
        <f>[1]Черн!AS11</f>
        <v>589656.92488999991</v>
      </c>
      <c r="R14" s="259">
        <f t="shared" si="5"/>
        <v>98.758204451236608</v>
      </c>
      <c r="S14" s="259">
        <f t="shared" si="6"/>
        <v>82.101139727572829</v>
      </c>
      <c r="T14" s="261">
        <f t="shared" si="6"/>
        <v>82.178590891050106</v>
      </c>
    </row>
    <row r="15" spans="1:20" x14ac:dyDescent="0.25">
      <c r="A15" s="271" t="s">
        <v>329</v>
      </c>
      <c r="B15" s="259">
        <f>[1]Черн!X12</f>
        <v>1446633.4766200003</v>
      </c>
      <c r="C15" s="259">
        <f>[1]Черн!Y12</f>
        <v>1285038.62848</v>
      </c>
      <c r="D15" s="260">
        <f t="shared" si="0"/>
        <v>88.829592930646115</v>
      </c>
      <c r="E15" s="259">
        <f>[1]Черн!AX12</f>
        <v>155958.4859</v>
      </c>
      <c r="F15" s="259">
        <f>[1]Черн!BB12</f>
        <v>145560.77024000001</v>
      </c>
      <c r="G15" s="260">
        <f t="shared" si="1"/>
        <v>93.333023464547509</v>
      </c>
      <c r="H15" s="259">
        <f>[1]Черн!CK12</f>
        <v>96460.876040000003</v>
      </c>
      <c r="I15" s="259">
        <f>[1]Черн!CM12</f>
        <v>91646.591409999994</v>
      </c>
      <c r="J15" s="259">
        <f t="shared" si="2"/>
        <v>95.009080543697692</v>
      </c>
      <c r="K15" s="259">
        <f t="shared" si="3"/>
        <v>61.850354267898162</v>
      </c>
      <c r="L15" s="259">
        <f t="shared" si="3"/>
        <v>62.961051428137857</v>
      </c>
      <c r="M15" s="259">
        <f>[1]Черн!CG12</f>
        <v>1290674.9907200001</v>
      </c>
      <c r="N15" s="259">
        <f>[1]Черн!CH12</f>
        <v>1139477.8582400004</v>
      </c>
      <c r="O15" s="260">
        <f t="shared" si="4"/>
        <v>88.285421692748955</v>
      </c>
      <c r="P15" s="259">
        <f>[1]Черн!AR12</f>
        <v>1294109.5109600003</v>
      </c>
      <c r="Q15" s="259">
        <f>[1]Черн!AS12</f>
        <v>1142912.37848</v>
      </c>
      <c r="R15" s="260">
        <f t="shared" si="5"/>
        <v>88.316511763533924</v>
      </c>
      <c r="S15" s="260">
        <f t="shared" si="6"/>
        <v>89.456626842594162</v>
      </c>
      <c r="T15" s="272">
        <f t="shared" si="6"/>
        <v>88.939923917453513</v>
      </c>
    </row>
    <row r="16" spans="1:20" x14ac:dyDescent="0.25">
      <c r="A16" s="271" t="s">
        <v>330</v>
      </c>
      <c r="B16" s="259">
        <f>[1]Черн!X13</f>
        <v>694381.06070000003</v>
      </c>
      <c r="C16" s="259">
        <f>[1]Черн!Y13</f>
        <v>678797.55711000005</v>
      </c>
      <c r="D16" s="259">
        <f t="shared" si="0"/>
        <v>97.755770646409857</v>
      </c>
      <c r="E16" s="259">
        <f>[1]Черн!AX13</f>
        <v>198390.54156000001</v>
      </c>
      <c r="F16" s="259">
        <f>[1]Черн!BB13</f>
        <v>184887.60542000001</v>
      </c>
      <c r="G16" s="260">
        <f t="shared" si="1"/>
        <v>93.19376012897456</v>
      </c>
      <c r="H16" s="259">
        <f>[1]Черн!CK13</f>
        <v>97294.399999999994</v>
      </c>
      <c r="I16" s="259">
        <f>[1]Черн!CM13</f>
        <v>89317.450299999997</v>
      </c>
      <c r="J16" s="260">
        <f t="shared" si="2"/>
        <v>91.801224222565736</v>
      </c>
      <c r="K16" s="259">
        <f t="shared" si="3"/>
        <v>49.041854130215611</v>
      </c>
      <c r="L16" s="259">
        <f t="shared" si="3"/>
        <v>48.30905246303665</v>
      </c>
      <c r="M16" s="259">
        <f>[1]Черн!CG13</f>
        <v>495990.51913999999</v>
      </c>
      <c r="N16" s="259">
        <f>[1]Черн!CH13</f>
        <v>493909.9516899999</v>
      </c>
      <c r="O16" s="259">
        <f t="shared" si="4"/>
        <v>99.580522737892721</v>
      </c>
      <c r="P16" s="259">
        <f>[1]Черн!AR13</f>
        <v>497333.82129999995</v>
      </c>
      <c r="Q16" s="259">
        <f>[1]Черн!AS13</f>
        <v>495253.25384999998</v>
      </c>
      <c r="R16" s="259">
        <f t="shared" si="5"/>
        <v>99.581655748937109</v>
      </c>
      <c r="S16" s="259">
        <f t="shared" si="6"/>
        <v>71.622607448227583</v>
      </c>
      <c r="T16" s="261">
        <f t="shared" si="6"/>
        <v>72.960376575094756</v>
      </c>
    </row>
    <row r="17" spans="1:20" x14ac:dyDescent="0.25">
      <c r="A17" s="271" t="s">
        <v>331</v>
      </c>
      <c r="B17" s="259">
        <f>[1]Черн!X14</f>
        <v>525860.21196999995</v>
      </c>
      <c r="C17" s="259">
        <f>[1]Черн!Y14</f>
        <v>520504.83782000002</v>
      </c>
      <c r="D17" s="259">
        <f t="shared" si="0"/>
        <v>98.981597384989939</v>
      </c>
      <c r="E17" s="259">
        <f>[1]Черн!AX14</f>
        <v>108634.59464</v>
      </c>
      <c r="F17" s="259">
        <f>[1]Черн!BB14</f>
        <v>105256.96084</v>
      </c>
      <c r="G17" s="259">
        <f t="shared" si="1"/>
        <v>96.890830392295371</v>
      </c>
      <c r="H17" s="259">
        <f>[1]Черн!CK14</f>
        <v>42330.6</v>
      </c>
      <c r="I17" s="259">
        <f>[1]Черн!CM14</f>
        <v>41330.617570000002</v>
      </c>
      <c r="J17" s="259">
        <f t="shared" si="2"/>
        <v>97.637684252054072</v>
      </c>
      <c r="K17" s="260">
        <f t="shared" si="3"/>
        <v>38.966040367046745</v>
      </c>
      <c r="L17" s="260">
        <f t="shared" si="3"/>
        <v>39.266398383690969</v>
      </c>
      <c r="M17" s="259">
        <f>[1]Черн!CG14</f>
        <v>417225.61732999992</v>
      </c>
      <c r="N17" s="259">
        <f>[1]Черн!CH14</f>
        <v>415247.87698000006</v>
      </c>
      <c r="O17" s="259">
        <f t="shared" si="4"/>
        <v>99.525978207508871</v>
      </c>
      <c r="P17" s="259">
        <f>[1]Черн!AR14</f>
        <v>417330.62320999999</v>
      </c>
      <c r="Q17" s="259">
        <f>[1]Черн!AS14</f>
        <v>415355.53286000004</v>
      </c>
      <c r="R17" s="259">
        <f t="shared" si="5"/>
        <v>99.526732465782629</v>
      </c>
      <c r="S17" s="259">
        <f t="shared" si="6"/>
        <v>79.361513518312833</v>
      </c>
      <c r="T17" s="261">
        <f t="shared" si="6"/>
        <v>79.798592189768939</v>
      </c>
    </row>
    <row r="18" spans="1:20" x14ac:dyDescent="0.25">
      <c r="A18" s="271" t="s">
        <v>332</v>
      </c>
      <c r="B18" s="259">
        <f>[1]Черн!X15</f>
        <v>977988.05059999996</v>
      </c>
      <c r="C18" s="259">
        <f>[1]Черн!Y15</f>
        <v>965725.30748000008</v>
      </c>
      <c r="D18" s="259">
        <f t="shared" si="0"/>
        <v>98.746125465185727</v>
      </c>
      <c r="E18" s="259">
        <f>[1]Черн!AX15</f>
        <v>119520.35631</v>
      </c>
      <c r="F18" s="259">
        <f>[1]Черн!BB15</f>
        <v>119082.41593999999</v>
      </c>
      <c r="G18" s="259">
        <f t="shared" si="1"/>
        <v>99.633585120124536</v>
      </c>
      <c r="H18" s="259">
        <f>[1]Черн!CK15</f>
        <v>75269.028000000006</v>
      </c>
      <c r="I18" s="259">
        <f>[1]Черн!CM15</f>
        <v>73337.127699999997</v>
      </c>
      <c r="J18" s="259">
        <f t="shared" si="2"/>
        <v>97.433339646687074</v>
      </c>
      <c r="K18" s="259">
        <f t="shared" si="3"/>
        <v>62.975906635330546</v>
      </c>
      <c r="L18" s="259">
        <f t="shared" si="3"/>
        <v>61.585186293962259</v>
      </c>
      <c r="M18" s="259">
        <f>[1]Черн!CG15</f>
        <v>858467.6942899999</v>
      </c>
      <c r="N18" s="259">
        <f>[1]Черн!CH15</f>
        <v>846642.89153999998</v>
      </c>
      <c r="O18" s="259">
        <f t="shared" si="4"/>
        <v>98.622568696684652</v>
      </c>
      <c r="P18" s="259">
        <f>[1]Черн!AR15</f>
        <v>752290.53081999999</v>
      </c>
      <c r="Q18" s="259">
        <f>[1]Черн!AS15</f>
        <v>740465.72806999995</v>
      </c>
      <c r="R18" s="259">
        <f t="shared" si="5"/>
        <v>98.428160096989259</v>
      </c>
      <c r="S18" s="259">
        <f t="shared" si="6"/>
        <v>76.92226202134745</v>
      </c>
      <c r="T18" s="261">
        <f t="shared" si="6"/>
        <v>76.674570122035945</v>
      </c>
    </row>
    <row r="19" spans="1:20" x14ac:dyDescent="0.25">
      <c r="A19" s="271" t="s">
        <v>333</v>
      </c>
      <c r="B19" s="259">
        <f>[1]Черн!X16</f>
        <v>378042.32644999999</v>
      </c>
      <c r="C19" s="259">
        <f>[1]Черн!Y16</f>
        <v>374206.32250999997</v>
      </c>
      <c r="D19" s="259">
        <f t="shared" si="0"/>
        <v>98.985297763871586</v>
      </c>
      <c r="E19" s="259">
        <f>[1]Черн!AX16</f>
        <v>56720.453000000001</v>
      </c>
      <c r="F19" s="259">
        <f>[1]Черн!BB16</f>
        <v>53160.917560000002</v>
      </c>
      <c r="G19" s="260">
        <f t="shared" si="1"/>
        <v>93.724423463261132</v>
      </c>
      <c r="H19" s="259">
        <f>[1]Черн!CK16</f>
        <v>31898.7</v>
      </c>
      <c r="I19" s="259">
        <f>[1]Черн!CM16</f>
        <v>30672.53773</v>
      </c>
      <c r="J19" s="259">
        <f t="shared" si="2"/>
        <v>96.156074479524236</v>
      </c>
      <c r="K19" s="259">
        <f t="shared" si="3"/>
        <v>56.238443652768431</v>
      </c>
      <c r="L19" s="259">
        <f t="shared" si="3"/>
        <v>57.697532581866135</v>
      </c>
      <c r="M19" s="259">
        <f>[1]Черн!CG16</f>
        <v>321321.87344999996</v>
      </c>
      <c r="N19" s="259">
        <f>[1]Черн!CH16</f>
        <v>321045.40495</v>
      </c>
      <c r="O19" s="259">
        <f t="shared" si="4"/>
        <v>99.913959016536424</v>
      </c>
      <c r="P19" s="259">
        <f>[1]Черн!AR16</f>
        <v>322323.16208999994</v>
      </c>
      <c r="Q19" s="259">
        <f>[1]Черн!AS16</f>
        <v>322046.69358999992</v>
      </c>
      <c r="R19" s="259">
        <f t="shared" si="5"/>
        <v>99.914226300645794</v>
      </c>
      <c r="S19" s="259">
        <f t="shared" si="6"/>
        <v>85.261130709032003</v>
      </c>
      <c r="T19" s="261">
        <f t="shared" si="6"/>
        <v>86.061264660057645</v>
      </c>
    </row>
    <row r="20" spans="1:20" x14ac:dyDescent="0.25">
      <c r="A20" s="271" t="s">
        <v>334</v>
      </c>
      <c r="B20" s="259">
        <f>[1]Черн!X17</f>
        <v>509444.81367999996</v>
      </c>
      <c r="C20" s="259">
        <f>[1]Черн!Y17</f>
        <v>513406.61254</v>
      </c>
      <c r="D20" s="260">
        <f t="shared" si="0"/>
        <v>100.77766987779928</v>
      </c>
      <c r="E20" s="259">
        <f>[1]Черн!AX17</f>
        <v>147343.10769999999</v>
      </c>
      <c r="F20" s="259">
        <f>[1]Черн!BB17</f>
        <v>152177.81898000001</v>
      </c>
      <c r="G20" s="260">
        <f t="shared" si="1"/>
        <v>103.28126055943098</v>
      </c>
      <c r="H20" s="259">
        <f>[1]Черн!CK17</f>
        <v>97305</v>
      </c>
      <c r="I20" s="259">
        <f>[1]Черн!CM17</f>
        <v>90772.63648999999</v>
      </c>
      <c r="J20" s="259">
        <f t="shared" si="2"/>
        <v>93.286713416576731</v>
      </c>
      <c r="K20" s="259">
        <f t="shared" si="3"/>
        <v>66.039736448425685</v>
      </c>
      <c r="L20" s="259">
        <f t="shared" si="3"/>
        <v>59.64905864627341</v>
      </c>
      <c r="M20" s="259">
        <f>[1]Черн!CG17</f>
        <v>362101.70598000003</v>
      </c>
      <c r="N20" s="259">
        <f>[1]Черн!CH17</f>
        <v>361228.79356000002</v>
      </c>
      <c r="O20" s="259">
        <f t="shared" si="4"/>
        <v>99.758931701899186</v>
      </c>
      <c r="P20" s="259">
        <f>[1]Черн!AR17</f>
        <v>361350.08599000005</v>
      </c>
      <c r="Q20" s="259">
        <f>[1]Черн!AS17</f>
        <v>360476.67357000004</v>
      </c>
      <c r="R20" s="259">
        <f t="shared" si="5"/>
        <v>99.758291901991086</v>
      </c>
      <c r="S20" s="259">
        <f t="shared" si="6"/>
        <v>70.930172667726211</v>
      </c>
      <c r="T20" s="261">
        <f t="shared" si="6"/>
        <v>70.212705634350385</v>
      </c>
    </row>
    <row r="21" spans="1:20" x14ac:dyDescent="0.25">
      <c r="A21" s="271" t="s">
        <v>335</v>
      </c>
      <c r="B21" s="259">
        <f>[1]Черн!X18</f>
        <v>789222.35626999987</v>
      </c>
      <c r="C21" s="259">
        <f>[1]Черн!Y18</f>
        <v>752959.07095000008</v>
      </c>
      <c r="D21" s="259">
        <f t="shared" si="0"/>
        <v>95.405187773520979</v>
      </c>
      <c r="E21" s="259">
        <f>[1]Черн!AX18</f>
        <v>272785.09999999998</v>
      </c>
      <c r="F21" s="259">
        <f>[1]Черн!BB18</f>
        <v>251410.58555000002</v>
      </c>
      <c r="G21" s="260">
        <f t="shared" si="1"/>
        <v>92.164339456223985</v>
      </c>
      <c r="H21" s="259">
        <f>[1]Черн!CK18</f>
        <v>148840.4</v>
      </c>
      <c r="I21" s="259">
        <f>[1]Черн!CM18</f>
        <v>145376.41111000002</v>
      </c>
      <c r="J21" s="259">
        <f t="shared" si="2"/>
        <v>97.672682356403243</v>
      </c>
      <c r="K21" s="259">
        <f t="shared" si="3"/>
        <v>54.563244106807893</v>
      </c>
      <c r="L21" s="259">
        <f t="shared" si="3"/>
        <v>57.824299956171842</v>
      </c>
      <c r="M21" s="259">
        <f>[1]Черн!CG18</f>
        <v>516437.25626999995</v>
      </c>
      <c r="N21" s="259">
        <f>[1]Черн!CH18</f>
        <v>501548.48539999995</v>
      </c>
      <c r="O21" s="259">
        <f t="shared" si="4"/>
        <v>97.117022312151704</v>
      </c>
      <c r="P21" s="259">
        <f>[1]Черн!AR18</f>
        <v>517911.36041000002</v>
      </c>
      <c r="Q21" s="259">
        <f>[1]Черн!AS18</f>
        <v>503034.39334000001</v>
      </c>
      <c r="R21" s="259">
        <f t="shared" si="5"/>
        <v>97.127507097310485</v>
      </c>
      <c r="S21" s="259">
        <f t="shared" si="6"/>
        <v>65.622996649225428</v>
      </c>
      <c r="T21" s="261">
        <f t="shared" si="6"/>
        <v>66.807667607394265</v>
      </c>
    </row>
    <row r="22" spans="1:20" x14ac:dyDescent="0.25">
      <c r="A22" s="271" t="s">
        <v>336</v>
      </c>
      <c r="B22" s="259">
        <f>[1]Черн!X19</f>
        <v>1032805.0463300003</v>
      </c>
      <c r="C22" s="259">
        <f>[1]Черн!Y19</f>
        <v>972881.16687999992</v>
      </c>
      <c r="D22" s="259">
        <f t="shared" si="0"/>
        <v>94.197948619351195</v>
      </c>
      <c r="E22" s="259">
        <f>[1]Черн!AX19</f>
        <v>231503.76981999999</v>
      </c>
      <c r="F22" s="259">
        <f>[1]Черн!BB19</f>
        <v>221822.89961000002</v>
      </c>
      <c r="G22" s="259">
        <f t="shared" si="1"/>
        <v>95.81826671007255</v>
      </c>
      <c r="H22" s="259">
        <f>[1]Черн!CK19</f>
        <v>128533.3</v>
      </c>
      <c r="I22" s="259">
        <f>[1]Черн!CM19</f>
        <v>125772.20022</v>
      </c>
      <c r="J22" s="259">
        <f t="shared" si="2"/>
        <v>97.851840900373674</v>
      </c>
      <c r="K22" s="259">
        <f t="shared" si="3"/>
        <v>55.521039722134063</v>
      </c>
      <c r="L22" s="259">
        <f t="shared" si="3"/>
        <v>56.699376142466605</v>
      </c>
      <c r="M22" s="259">
        <f>[1]Черн!CG19</f>
        <v>801301.27651</v>
      </c>
      <c r="N22" s="259">
        <f>[1]Черн!CH19</f>
        <v>751058.26726999995</v>
      </c>
      <c r="O22" s="259">
        <f t="shared" si="4"/>
        <v>93.729822887737157</v>
      </c>
      <c r="P22" s="259">
        <f>[1]Черн!AR19</f>
        <v>823175.42626000009</v>
      </c>
      <c r="Q22" s="259">
        <f>[1]Черн!AS19</f>
        <v>769687.62302000006</v>
      </c>
      <c r="R22" s="259">
        <f t="shared" si="5"/>
        <v>93.502259477907941</v>
      </c>
      <c r="S22" s="259">
        <f t="shared" si="6"/>
        <v>79.702885765817655</v>
      </c>
      <c r="T22" s="261">
        <f t="shared" si="6"/>
        <v>79.114248401823289</v>
      </c>
    </row>
    <row r="23" spans="1:20" x14ac:dyDescent="0.25">
      <c r="A23" s="271" t="s">
        <v>337</v>
      </c>
      <c r="B23" s="259">
        <f>[1]Черн!X20</f>
        <v>1074618.4986199997</v>
      </c>
      <c r="C23" s="259">
        <f>[1]Черн!Y20</f>
        <v>1072505.2536199999</v>
      </c>
      <c r="D23" s="259">
        <f t="shared" si="0"/>
        <v>99.803349281376256</v>
      </c>
      <c r="E23" s="259">
        <f>[1]Черн!AX20</f>
        <v>149432.54581000001</v>
      </c>
      <c r="F23" s="259">
        <f>[1]Черн!BB20</f>
        <v>148901.95731999999</v>
      </c>
      <c r="G23" s="259">
        <f t="shared" si="1"/>
        <v>99.644931104449867</v>
      </c>
      <c r="H23" s="259">
        <f>[1]Черн!CK20</f>
        <v>94450.856499999994</v>
      </c>
      <c r="I23" s="259">
        <f>[1]Черн!CM20</f>
        <v>89634.679759999999</v>
      </c>
      <c r="J23" s="259">
        <f t="shared" si="2"/>
        <v>94.900864938159671</v>
      </c>
      <c r="K23" s="259">
        <f t="shared" si="3"/>
        <v>63.206349050689433</v>
      </c>
      <c r="L23" s="259">
        <f t="shared" si="3"/>
        <v>60.197113169821698</v>
      </c>
      <c r="M23" s="259">
        <f>[1]Черн!CG20</f>
        <v>925185.95281000005</v>
      </c>
      <c r="N23" s="259">
        <f>[1]Черн!CH20</f>
        <v>923603.29630000005</v>
      </c>
      <c r="O23" s="259">
        <f t="shared" si="4"/>
        <v>99.828936387847975</v>
      </c>
      <c r="P23" s="259">
        <f>[1]Черн!AR20</f>
        <v>928840.09033000015</v>
      </c>
      <c r="Q23" s="259">
        <f>[1]Черн!AS20</f>
        <v>927257.43381999992</v>
      </c>
      <c r="R23" s="259">
        <f t="shared" si="5"/>
        <v>99.829609366943018</v>
      </c>
      <c r="S23" s="259">
        <f t="shared" si="6"/>
        <v>86.434403606749285</v>
      </c>
      <c r="T23" s="261">
        <f t="shared" si="6"/>
        <v>86.457146078329345</v>
      </c>
    </row>
    <row r="24" spans="1:20" x14ac:dyDescent="0.25">
      <c r="A24" s="271" t="s">
        <v>338</v>
      </c>
      <c r="B24" s="259">
        <f>[1]Черн!X21</f>
        <v>1177505.5183999999</v>
      </c>
      <c r="C24" s="259">
        <f>[1]Черн!Y21</f>
        <v>1149338.4625500001</v>
      </c>
      <c r="D24" s="259">
        <f t="shared" si="0"/>
        <v>97.607904556721451</v>
      </c>
      <c r="E24" s="259">
        <f>[1]Черн!AX21</f>
        <v>367573.33315999998</v>
      </c>
      <c r="F24" s="259">
        <f>[1]Черн!BB21</f>
        <v>342138.81711</v>
      </c>
      <c r="G24" s="260">
        <f t="shared" si="1"/>
        <v>93.080424025502239</v>
      </c>
      <c r="H24" s="259">
        <f>[1]Черн!CK21</f>
        <v>196293.508</v>
      </c>
      <c r="I24" s="259">
        <f>[1]Черн!CM21</f>
        <v>188608.42574000001</v>
      </c>
      <c r="J24" s="259">
        <f t="shared" si="2"/>
        <v>96.084902481848772</v>
      </c>
      <c r="K24" s="259">
        <f t="shared" si="3"/>
        <v>53.402543191172121</v>
      </c>
      <c r="L24" s="259">
        <f t="shared" si="3"/>
        <v>55.126286848463934</v>
      </c>
      <c r="M24" s="259">
        <f>[1]Черн!CG21</f>
        <v>809932.18524000014</v>
      </c>
      <c r="N24" s="259">
        <f>[1]Черн!CH21</f>
        <v>807199.64544000011</v>
      </c>
      <c r="O24" s="259">
        <f t="shared" si="4"/>
        <v>99.662621161401276</v>
      </c>
      <c r="P24" s="259">
        <f>[1]Черн!AR21</f>
        <v>815681.42749000015</v>
      </c>
      <c r="Q24" s="259">
        <f>[1]Черн!AS21</f>
        <v>812945.88769</v>
      </c>
      <c r="R24" s="259">
        <f t="shared" si="5"/>
        <v>99.664631348979228</v>
      </c>
      <c r="S24" s="259">
        <f t="shared" si="6"/>
        <v>69.271983421220142</v>
      </c>
      <c r="T24" s="261">
        <f t="shared" si="6"/>
        <v>70.731635125682928</v>
      </c>
    </row>
    <row r="25" spans="1:20" x14ac:dyDescent="0.25">
      <c r="A25" s="271" t="s">
        <v>339</v>
      </c>
      <c r="B25" s="259">
        <f>[1]Черн!X22</f>
        <v>1458094.70358</v>
      </c>
      <c r="C25" s="259">
        <f>[1]Черн!Y22</f>
        <v>1273619.51238</v>
      </c>
      <c r="D25" s="260">
        <f t="shared" si="0"/>
        <v>87.348202366618182</v>
      </c>
      <c r="E25" s="259">
        <f>[1]Черн!AX22</f>
        <v>335185.47474000003</v>
      </c>
      <c r="F25" s="259">
        <f>[1]Черн!BB22</f>
        <v>337758.55946000002</v>
      </c>
      <c r="G25" s="259">
        <f t="shared" si="1"/>
        <v>100.76765997154141</v>
      </c>
      <c r="H25" s="259">
        <f>[1]Черн!CK22</f>
        <v>182672.30028999998</v>
      </c>
      <c r="I25" s="259">
        <f>[1]Черн!CM22</f>
        <v>181371.88967999999</v>
      </c>
      <c r="J25" s="259">
        <f t="shared" si="2"/>
        <v>99.288118336531852</v>
      </c>
      <c r="K25" s="259">
        <f t="shared" si="3"/>
        <v>54.498871238885584</v>
      </c>
      <c r="L25" s="259">
        <f t="shared" si="3"/>
        <v>53.698680492353134</v>
      </c>
      <c r="M25" s="259">
        <f>[1]Черн!CG22</f>
        <v>1122909.2288400002</v>
      </c>
      <c r="N25" s="259">
        <f>[1]Черн!CH22</f>
        <v>935860.95292000007</v>
      </c>
      <c r="O25" s="260">
        <f t="shared" si="4"/>
        <v>83.342529287676541</v>
      </c>
      <c r="P25" s="259">
        <f>[1]Черн!AR22</f>
        <v>1111849.2784299999</v>
      </c>
      <c r="Q25" s="259">
        <f>[1]Черн!AS22</f>
        <v>924816.09605999989</v>
      </c>
      <c r="R25" s="260">
        <f t="shared" si="5"/>
        <v>83.17818916660157</v>
      </c>
      <c r="S25" s="259">
        <f t="shared" si="6"/>
        <v>76.253570889471177</v>
      </c>
      <c r="T25" s="261">
        <f t="shared" si="6"/>
        <v>72.613216668752614</v>
      </c>
    </row>
    <row r="26" spans="1:20" x14ac:dyDescent="0.25">
      <c r="A26" s="271" t="s">
        <v>340</v>
      </c>
      <c r="B26" s="259">
        <f>[1]Черн!X23</f>
        <v>1089837.2118499998</v>
      </c>
      <c r="C26" s="259">
        <f>[1]Черн!Y23</f>
        <v>1097051.3481400001</v>
      </c>
      <c r="D26" s="260">
        <f t="shared" si="0"/>
        <v>100.66194622568946</v>
      </c>
      <c r="E26" s="259">
        <f>[1]Черн!AX23</f>
        <v>220638.29355999999</v>
      </c>
      <c r="F26" s="259">
        <f>[1]Черн!BB23</f>
        <v>232369.68605000002</v>
      </c>
      <c r="G26" s="260">
        <f t="shared" si="1"/>
        <v>105.31702466544402</v>
      </c>
      <c r="H26" s="259">
        <f>[1]Черн!CK23</f>
        <v>119051.42440999999</v>
      </c>
      <c r="I26" s="259">
        <f>[1]Черн!CM23</f>
        <v>122388.88052999999</v>
      </c>
      <c r="J26" s="260">
        <f t="shared" si="2"/>
        <v>102.80337353084175</v>
      </c>
      <c r="K26" s="259">
        <f t="shared" si="3"/>
        <v>53.957734393746726</v>
      </c>
      <c r="L26" s="259">
        <f t="shared" si="3"/>
        <v>52.669899680315886</v>
      </c>
      <c r="M26" s="259">
        <f>[1]Черн!CG23</f>
        <v>869198.91829000006</v>
      </c>
      <c r="N26" s="259">
        <f>[1]Черн!CH23</f>
        <v>864681.66209</v>
      </c>
      <c r="O26" s="259">
        <f t="shared" si="4"/>
        <v>99.480296615084725</v>
      </c>
      <c r="P26" s="259">
        <f>[1]Черн!AR23</f>
        <v>863253.52662000002</v>
      </c>
      <c r="Q26" s="259">
        <f>[1]Черн!AS23</f>
        <v>858636.27042000007</v>
      </c>
      <c r="R26" s="259">
        <f t="shared" si="5"/>
        <v>99.465133236341529</v>
      </c>
      <c r="S26" s="259">
        <f t="shared" si="6"/>
        <v>79.209400930128481</v>
      </c>
      <c r="T26" s="261">
        <f t="shared" si="6"/>
        <v>78.267646439319194</v>
      </c>
    </row>
    <row r="27" spans="1:20" x14ac:dyDescent="0.25">
      <c r="A27" s="271" t="s">
        <v>341</v>
      </c>
      <c r="B27" s="259">
        <f>[1]Черн!X24</f>
        <v>1190658.8602099998</v>
      </c>
      <c r="C27" s="259">
        <f>[1]Черн!Y24</f>
        <v>1139630.6420900002</v>
      </c>
      <c r="D27" s="259">
        <f t="shared" si="0"/>
        <v>95.714287288720158</v>
      </c>
      <c r="E27" s="259">
        <f>[1]Черн!AX24</f>
        <v>201221.78186000002</v>
      </c>
      <c r="F27" s="259">
        <f>[1]Черн!BB24</f>
        <v>191241.61395999999</v>
      </c>
      <c r="G27" s="259">
        <f t="shared" si="1"/>
        <v>95.040214927157479</v>
      </c>
      <c r="H27" s="259">
        <f>[1]Черн!CK24</f>
        <v>84183.442999999999</v>
      </c>
      <c r="I27" s="259">
        <f>[1]Черн!CM24</f>
        <v>76973.226120000007</v>
      </c>
      <c r="J27" s="260">
        <f t="shared" si="2"/>
        <v>91.435112864176872</v>
      </c>
      <c r="K27" s="260">
        <f t="shared" si="3"/>
        <v>41.836148264789045</v>
      </c>
      <c r="L27" s="260">
        <f t="shared" si="3"/>
        <v>40.249203364336637</v>
      </c>
      <c r="M27" s="259">
        <f>[1]Черн!CG24</f>
        <v>989437.07834999985</v>
      </c>
      <c r="N27" s="259">
        <f>[1]Черн!CH24</f>
        <v>948389.02812999988</v>
      </c>
      <c r="O27" s="259">
        <f t="shared" si="4"/>
        <v>95.851373359844942</v>
      </c>
      <c r="P27" s="259">
        <f>[1]Черн!AR24</f>
        <v>990030.52636999986</v>
      </c>
      <c r="Q27" s="259">
        <f>[1]Черн!AS24</f>
        <v>948982.47614999989</v>
      </c>
      <c r="R27" s="259">
        <f t="shared" si="5"/>
        <v>95.853860146059858</v>
      </c>
      <c r="S27" s="259">
        <f t="shared" si="6"/>
        <v>83.149805494697731</v>
      </c>
      <c r="T27" s="261">
        <f t="shared" si="6"/>
        <v>83.271056524913604</v>
      </c>
    </row>
    <row r="28" spans="1:20" x14ac:dyDescent="0.25">
      <c r="A28" s="271" t="s">
        <v>342</v>
      </c>
      <c r="B28" s="259">
        <f>[1]Черн!X25</f>
        <v>403688.61101999995</v>
      </c>
      <c r="C28" s="259">
        <f>[1]Черн!Y25</f>
        <v>401884.72986999992</v>
      </c>
      <c r="D28" s="259">
        <f t="shared" si="0"/>
        <v>99.553150348868613</v>
      </c>
      <c r="E28" s="259">
        <f>[1]Черн!AX25</f>
        <v>82077.596000000005</v>
      </c>
      <c r="F28" s="259">
        <f>[1]Черн!BB25</f>
        <v>80921.153749999998</v>
      </c>
      <c r="G28" s="259">
        <f t="shared" si="1"/>
        <v>98.59103786373079</v>
      </c>
      <c r="H28" s="259">
        <f>[1]Черн!CK25</f>
        <v>37574</v>
      </c>
      <c r="I28" s="259">
        <f>[1]Черн!CM25</f>
        <v>34852.885840000003</v>
      </c>
      <c r="J28" s="260">
        <f t="shared" si="2"/>
        <v>92.757986480012775</v>
      </c>
      <c r="K28" s="259">
        <f t="shared" si="3"/>
        <v>45.778631235739404</v>
      </c>
      <c r="L28" s="259">
        <f t="shared" si="3"/>
        <v>43.070179087751825</v>
      </c>
      <c r="M28" s="259">
        <f>[1]Черн!CG25</f>
        <v>321611.01501999999</v>
      </c>
      <c r="N28" s="259">
        <f>[1]Черн!CH25</f>
        <v>320963.57611999998</v>
      </c>
      <c r="O28" s="259">
        <f t="shared" si="4"/>
        <v>99.798688829124913</v>
      </c>
      <c r="P28" s="259">
        <f>[1]Черн!AR25</f>
        <v>323538.44169000001</v>
      </c>
      <c r="Q28" s="259">
        <f>[1]Черн!AS25</f>
        <v>322891.00279</v>
      </c>
      <c r="R28" s="259">
        <f t="shared" si="5"/>
        <v>99.799888107076825</v>
      </c>
      <c r="S28" s="259">
        <f t="shared" si="6"/>
        <v>80.145546061484239</v>
      </c>
      <c r="T28" s="261">
        <f t="shared" si="6"/>
        <v>80.344182993578158</v>
      </c>
    </row>
    <row r="29" spans="1:20" x14ac:dyDescent="0.25">
      <c r="A29" s="271" t="s">
        <v>343</v>
      </c>
      <c r="B29" s="259">
        <f>[1]Черн!X26</f>
        <v>7827123.2733999994</v>
      </c>
      <c r="C29" s="259">
        <f>[1]Черн!Y26</f>
        <v>7812884.6195600005</v>
      </c>
      <c r="D29" s="259">
        <f t="shared" si="0"/>
        <v>99.818085734149761</v>
      </c>
      <c r="E29" s="259">
        <f>[1]Черн!AX26</f>
        <v>4355186.5374399992</v>
      </c>
      <c r="F29" s="259">
        <f>[1]Черн!BB26</f>
        <v>4376303.3763000006</v>
      </c>
      <c r="G29" s="259">
        <f t="shared" si="1"/>
        <v>100.48486646159625</v>
      </c>
      <c r="H29" s="259">
        <f>[1]Черн!CK26</f>
        <v>2765014.3</v>
      </c>
      <c r="I29" s="259">
        <f>[1]Черн!CM26</f>
        <v>2653703.5688299998</v>
      </c>
      <c r="J29" s="259">
        <f t="shared" si="2"/>
        <v>95.974316256881565</v>
      </c>
      <c r="K29" s="259">
        <f t="shared" si="3"/>
        <v>63.487850089316481</v>
      </c>
      <c r="L29" s="259">
        <f t="shared" si="3"/>
        <v>60.638016623829358</v>
      </c>
      <c r="M29" s="259">
        <f>[1]Черн!CG26</f>
        <v>3471936.7359600002</v>
      </c>
      <c r="N29" s="259">
        <f>[1]Черн!CH26</f>
        <v>3436581.2432600004</v>
      </c>
      <c r="O29" s="259">
        <f t="shared" si="4"/>
        <v>98.981678083767733</v>
      </c>
      <c r="P29" s="259">
        <f>[1]Черн!AR26</f>
        <v>3527442.9915100001</v>
      </c>
      <c r="Q29" s="259">
        <f>[1]Черн!AS26</f>
        <v>3492087.4988099998</v>
      </c>
      <c r="R29" s="259">
        <f t="shared" si="5"/>
        <v>98.997701939192339</v>
      </c>
      <c r="S29" s="260">
        <f t="shared" si="6"/>
        <v>45.066914986477855</v>
      </c>
      <c r="T29" s="272">
        <f t="shared" si="6"/>
        <v>44.696519516842216</v>
      </c>
    </row>
    <row r="30" spans="1:20" x14ac:dyDescent="0.25">
      <c r="A30" s="271" t="s">
        <v>344</v>
      </c>
      <c r="B30" s="259">
        <f>[1]Черн!X27</f>
        <v>5958795.8904399993</v>
      </c>
      <c r="C30" s="259">
        <f>[1]Черн!Y27</f>
        <v>5789569.54299</v>
      </c>
      <c r="D30" s="259">
        <f t="shared" si="0"/>
        <v>97.160057995584339</v>
      </c>
      <c r="E30" s="259">
        <f>[1]Черн!AX27</f>
        <v>3138788.3640799997</v>
      </c>
      <c r="F30" s="259">
        <f>[1]Черн!BB27</f>
        <v>3078565.4706899999</v>
      </c>
      <c r="G30" s="259">
        <f t="shared" si="1"/>
        <v>98.081333100403157</v>
      </c>
      <c r="H30" s="259">
        <f>[1]Черн!CK27</f>
        <v>2091627.67</v>
      </c>
      <c r="I30" s="259">
        <f>[1]Черн!CM27</f>
        <v>2026628.9686500002</v>
      </c>
      <c r="J30" s="259">
        <f t="shared" si="2"/>
        <v>96.892434428829304</v>
      </c>
      <c r="K30" s="259">
        <f t="shared" si="3"/>
        <v>66.638059893951151</v>
      </c>
      <c r="L30" s="259">
        <f t="shared" si="3"/>
        <v>65.830302715497268</v>
      </c>
      <c r="M30" s="259">
        <f>[1]Черн!CG27</f>
        <v>2820007.52636</v>
      </c>
      <c r="N30" s="259">
        <f>[1]Черн!CH27</f>
        <v>2711004.0723000001</v>
      </c>
      <c r="O30" s="259">
        <f t="shared" si="4"/>
        <v>96.13463960499783</v>
      </c>
      <c r="P30" s="259">
        <f>[1]Черн!AR27</f>
        <v>2831022.4238200001</v>
      </c>
      <c r="Q30" s="259">
        <f>[1]Черн!AS27</f>
        <v>2722018.9697600002</v>
      </c>
      <c r="R30" s="259">
        <f t="shared" si="5"/>
        <v>96.149678888346017</v>
      </c>
      <c r="S30" s="260">
        <f t="shared" si="6"/>
        <v>47.509974764565335</v>
      </c>
      <c r="T30" s="272">
        <f t="shared" si="6"/>
        <v>47.015912833378358</v>
      </c>
    </row>
    <row r="31" spans="1:20" x14ac:dyDescent="0.25">
      <c r="A31" s="271" t="s">
        <v>345</v>
      </c>
      <c r="B31" s="259">
        <f>[1]Черн!X28</f>
        <v>1756313.0054899999</v>
      </c>
      <c r="C31" s="259">
        <f>[1]Черн!Y28</f>
        <v>1728823.0769200001</v>
      </c>
      <c r="D31" s="259">
        <f t="shared" si="0"/>
        <v>98.434793315082786</v>
      </c>
      <c r="E31" s="259">
        <f>[1]Черн!AX28</f>
        <v>768592.9</v>
      </c>
      <c r="F31" s="259">
        <f>[1]Черн!BB28</f>
        <v>742456.62130999996</v>
      </c>
      <c r="G31" s="259">
        <f t="shared" si="1"/>
        <v>96.599463943786105</v>
      </c>
      <c r="H31" s="259">
        <f>[1]Черн!CK28</f>
        <v>463528</v>
      </c>
      <c r="I31" s="259">
        <f>[1]Черн!CM28</f>
        <v>436470.34170999995</v>
      </c>
      <c r="J31" s="259">
        <f t="shared" si="2"/>
        <v>94.162670153690812</v>
      </c>
      <c r="K31" s="259">
        <f t="shared" si="3"/>
        <v>60.308649741625246</v>
      </c>
      <c r="L31" s="259">
        <f t="shared" si="3"/>
        <v>58.787318906239406</v>
      </c>
      <c r="M31" s="259">
        <f>[1]Черн!CG28</f>
        <v>987720.10548999999</v>
      </c>
      <c r="N31" s="259">
        <f>[1]Черн!CH28</f>
        <v>986366.45561000006</v>
      </c>
      <c r="O31" s="259">
        <f t="shared" si="4"/>
        <v>99.862952077974711</v>
      </c>
      <c r="P31" s="259">
        <f>[1]Черн!AR28</f>
        <v>989149.20548999996</v>
      </c>
      <c r="Q31" s="259">
        <f>[1]Черн!AS28</f>
        <v>987795.51937999995</v>
      </c>
      <c r="R31" s="259">
        <f t="shared" si="5"/>
        <v>99.863146418913672</v>
      </c>
      <c r="S31" s="259">
        <f t="shared" si="6"/>
        <v>56.319642478194467</v>
      </c>
      <c r="T31" s="261">
        <f t="shared" si="6"/>
        <v>57.136877252923739</v>
      </c>
    </row>
    <row r="32" spans="1:20" x14ac:dyDescent="0.25">
      <c r="A32" s="271" t="s">
        <v>346</v>
      </c>
      <c r="B32" s="259">
        <f>[1]Черн!X29</f>
        <v>968728.38537000003</v>
      </c>
      <c r="C32" s="259">
        <f>[1]Черн!Y29</f>
        <v>970367.88861999998</v>
      </c>
      <c r="D32" s="260">
        <f t="shared" si="0"/>
        <v>100.16924282128615</v>
      </c>
      <c r="E32" s="259">
        <f>[1]Черн!AX29</f>
        <v>338221.2</v>
      </c>
      <c r="F32" s="259">
        <f>[1]Черн!BB29</f>
        <v>364785.23875999998</v>
      </c>
      <c r="G32" s="260">
        <f t="shared" si="1"/>
        <v>107.85404308186476</v>
      </c>
      <c r="H32" s="259">
        <f>[1]Черн!CK29</f>
        <v>227063</v>
      </c>
      <c r="I32" s="259">
        <f>[1]Черн!CM29</f>
        <v>216730.58269000001</v>
      </c>
      <c r="J32" s="259">
        <f t="shared" si="2"/>
        <v>95.449537216543433</v>
      </c>
      <c r="K32" s="260">
        <f t="shared" si="3"/>
        <v>67.134467029269601</v>
      </c>
      <c r="L32" s="259">
        <f t="shared" si="3"/>
        <v>59.413199784816868</v>
      </c>
      <c r="M32" s="259">
        <f>[1]Черн!CG29</f>
        <v>630507.18536999996</v>
      </c>
      <c r="N32" s="259">
        <f>[1]Черн!CH29</f>
        <v>605582.64986</v>
      </c>
      <c r="O32" s="259">
        <f t="shared" si="4"/>
        <v>96.046906984038017</v>
      </c>
      <c r="P32" s="259">
        <f>[1]Черн!AR29</f>
        <v>609922.53099999996</v>
      </c>
      <c r="Q32" s="259">
        <f>[1]Черн!AS29</f>
        <v>605937.19598000008</v>
      </c>
      <c r="R32" s="259">
        <f>Q32/P32%</f>
        <v>99.346583407327856</v>
      </c>
      <c r="S32" s="259">
        <f t="shared" si="6"/>
        <v>62.96114991686175</v>
      </c>
      <c r="T32" s="261">
        <f t="shared" si="6"/>
        <v>62.444069211907689</v>
      </c>
    </row>
    <row r="33" spans="1:20" x14ac:dyDescent="0.25">
      <c r="A33" s="271" t="s">
        <v>347</v>
      </c>
      <c r="B33" s="259">
        <f>[1]Черн!X30</f>
        <v>827130.78586000006</v>
      </c>
      <c r="C33" s="259">
        <f>[1]Черн!Y30</f>
        <v>832071.55561000004</v>
      </c>
      <c r="D33" s="260">
        <f t="shared" si="0"/>
        <v>100.59733839369342</v>
      </c>
      <c r="E33" s="259">
        <f>[1]Черн!AX30</f>
        <v>375397.54025999998</v>
      </c>
      <c r="F33" s="259">
        <f>[1]Черн!BB30</f>
        <v>381018.54967000004</v>
      </c>
      <c r="G33" s="260">
        <f t="shared" si="1"/>
        <v>101.49734849250929</v>
      </c>
      <c r="H33" s="259">
        <f>[1]Черн!CK30</f>
        <v>241044.845</v>
      </c>
      <c r="I33" s="259">
        <f>[1]Черн!CM30</f>
        <v>242204.99469999998</v>
      </c>
      <c r="J33" s="260">
        <f t="shared" si="2"/>
        <v>100.48130035720116</v>
      </c>
      <c r="K33" s="259">
        <f t="shared" si="3"/>
        <v>64.210555251121946</v>
      </c>
      <c r="L33" s="259">
        <f t="shared" si="3"/>
        <v>63.56776983949301</v>
      </c>
      <c r="M33" s="259">
        <f>[1]Черн!CG30</f>
        <v>451733.24560000002</v>
      </c>
      <c r="N33" s="259">
        <f>[1]Черн!CH30</f>
        <v>451053.00594</v>
      </c>
      <c r="O33" s="259">
        <f t="shared" si="4"/>
        <v>99.849415630435502</v>
      </c>
      <c r="P33" s="259">
        <f>[1]Черн!AR30</f>
        <v>452413.31677999999</v>
      </c>
      <c r="Q33" s="259">
        <f>[1]Черн!AS30</f>
        <v>451734.46480999998</v>
      </c>
      <c r="R33" s="259">
        <f t="shared" si="5"/>
        <v>99.849948720600963</v>
      </c>
      <c r="S33" s="259">
        <f t="shared" si="6"/>
        <v>54.696708732659282</v>
      </c>
      <c r="T33" s="261">
        <f t="shared" si="6"/>
        <v>54.2903385849825</v>
      </c>
    </row>
    <row r="34" spans="1:20" x14ac:dyDescent="0.25">
      <c r="A34" s="271" t="s">
        <v>348</v>
      </c>
      <c r="B34" s="259">
        <f>[1]Черн!X31</f>
        <v>912614.93046000006</v>
      </c>
      <c r="C34" s="259">
        <f>[1]Черн!Y31</f>
        <v>822775.59832000011</v>
      </c>
      <c r="D34" s="260">
        <f t="shared" si="0"/>
        <v>90.155833622542545</v>
      </c>
      <c r="E34" s="259">
        <f>[1]Черн!AX31</f>
        <v>518186</v>
      </c>
      <c r="F34" s="259">
        <f>[1]Черн!BB31</f>
        <v>513760.69996</v>
      </c>
      <c r="G34" s="259">
        <f t="shared" si="1"/>
        <v>99.146001621039559</v>
      </c>
      <c r="H34" s="259">
        <f>[1]Черн!CK31</f>
        <v>348373</v>
      </c>
      <c r="I34" s="259">
        <f>[1]Черн!CM31</f>
        <v>341483.20581999997</v>
      </c>
      <c r="J34" s="259">
        <f t="shared" si="2"/>
        <v>98.022293868927832</v>
      </c>
      <c r="K34" s="260">
        <f t="shared" si="3"/>
        <v>67.229334640457296</v>
      </c>
      <c r="L34" s="260">
        <f t="shared" si="3"/>
        <v>66.467366197256226</v>
      </c>
      <c r="M34" s="259">
        <f>[1]Черн!CG31</f>
        <v>394428.93046</v>
      </c>
      <c r="N34" s="259">
        <f>[1]Черн!CH31</f>
        <v>309014.89835999999</v>
      </c>
      <c r="O34" s="260">
        <f t="shared" si="4"/>
        <v>78.344886618639649</v>
      </c>
      <c r="P34" s="259">
        <f>[1]Черн!AR31</f>
        <v>481747.03441000002</v>
      </c>
      <c r="Q34" s="259">
        <f>[1]Черн!AS31</f>
        <v>420770.64127999998</v>
      </c>
      <c r="R34" s="260">
        <f t="shared" si="5"/>
        <v>87.34265314063046</v>
      </c>
      <c r="S34" s="259">
        <f t="shared" si="6"/>
        <v>52.787546897482514</v>
      </c>
      <c r="T34" s="261">
        <f t="shared" si="6"/>
        <v>51.140388963790187</v>
      </c>
    </row>
    <row r="35" spans="1:20" x14ac:dyDescent="0.25">
      <c r="A35" s="271" t="s">
        <v>349</v>
      </c>
      <c r="B35" s="259">
        <f>[1]Черн!X32</f>
        <v>94491.885299999994</v>
      </c>
      <c r="C35" s="259">
        <f>[1]Черн!Y32</f>
        <v>91270.74742</v>
      </c>
      <c r="D35" s="259">
        <f t="shared" si="0"/>
        <v>96.591095764706907</v>
      </c>
      <c r="E35" s="259">
        <f>[1]Черн!AX32</f>
        <v>87424.019419999997</v>
      </c>
      <c r="F35" s="259">
        <f>[1]Черн!BB32</f>
        <v>84440.648520000002</v>
      </c>
      <c r="G35" s="259">
        <f t="shared" si="1"/>
        <v>96.58746998846236</v>
      </c>
      <c r="H35" s="259">
        <f>[1]Черн!CK32</f>
        <v>86430.178</v>
      </c>
      <c r="I35" s="259">
        <f>[1]Черн!CM32</f>
        <v>83544.467189999996</v>
      </c>
      <c r="J35" s="259">
        <f t="shared" si="2"/>
        <v>96.661223108900685</v>
      </c>
      <c r="K35" s="260">
        <f t="shared" si="3"/>
        <v>98.863194089457934</v>
      </c>
      <c r="L35" s="260">
        <f t="shared" si="3"/>
        <v>98.938684927570463</v>
      </c>
      <c r="M35" s="259">
        <f>[1]Черн!CG32</f>
        <v>7067.8658800000003</v>
      </c>
      <c r="N35" s="259">
        <f>[1]Черн!CH32</f>
        <v>6830.0989</v>
      </c>
      <c r="O35" s="259">
        <f t="shared" si="4"/>
        <v>96.63594380486461</v>
      </c>
      <c r="P35" s="259">
        <f>[1]Черн!AR32</f>
        <v>7504.1</v>
      </c>
      <c r="Q35" s="259">
        <f>[1]Черн!AS32</f>
        <v>7266.3330199999991</v>
      </c>
      <c r="R35" s="259">
        <f t="shared" si="5"/>
        <v>96.831505710211744</v>
      </c>
      <c r="S35" s="260">
        <f t="shared" si="6"/>
        <v>7.9415284986381804</v>
      </c>
      <c r="T35" s="272">
        <f t="shared" si="6"/>
        <v>7.9612945279855794</v>
      </c>
    </row>
    <row r="36" spans="1:20" s="215" customFormat="1" ht="13.8" thickBot="1" x14ac:dyDescent="0.3">
      <c r="A36" s="273" t="s">
        <v>350</v>
      </c>
      <c r="B36" s="263">
        <f>[1]Черн!X33</f>
        <v>35250610.856300004</v>
      </c>
      <c r="C36" s="263">
        <f>[1]Черн!Y33</f>
        <v>34265667.175059997</v>
      </c>
      <c r="D36" s="263">
        <f t="shared" si="0"/>
        <v>97.205881948386207</v>
      </c>
      <c r="E36" s="263">
        <f>[1]Черн!AX33</f>
        <v>13067645.55445</v>
      </c>
      <c r="F36" s="263">
        <f>[1]Черн!BB33</f>
        <v>12932106.82808</v>
      </c>
      <c r="G36" s="263">
        <f t="shared" si="1"/>
        <v>98.96279153115043</v>
      </c>
      <c r="H36" s="263">
        <f>[1]Черн!CK33</f>
        <v>8087433.0389200002</v>
      </c>
      <c r="I36" s="263">
        <f>[1]Черн!CM33</f>
        <v>7795027.0906999996</v>
      </c>
      <c r="J36" s="263">
        <f t="shared" si="2"/>
        <v>96.384440565840549</v>
      </c>
      <c r="K36" s="263">
        <f t="shared" si="3"/>
        <v>61.888983789937129</v>
      </c>
      <c r="L36" s="263">
        <f t="shared" si="3"/>
        <v>60.276544219185894</v>
      </c>
      <c r="M36" s="263">
        <f>[1]Черн!CG33</f>
        <v>22182965.301849999</v>
      </c>
      <c r="N36" s="263">
        <f>[1]Черн!CH33</f>
        <v>21333560.346980002</v>
      </c>
      <c r="O36" s="263">
        <f t="shared" si="4"/>
        <v>96.170913386412053</v>
      </c>
      <c r="P36" s="263">
        <f>[1]Черн!AR33</f>
        <v>22235698.161750004</v>
      </c>
      <c r="Q36" s="263">
        <f>[1]Черн!AS33</f>
        <v>21428216.35413</v>
      </c>
      <c r="R36" s="263">
        <f t="shared" si="5"/>
        <v>96.368534049409604</v>
      </c>
      <c r="S36" s="263">
        <f t="shared" si="6"/>
        <v>63.078901674624539</v>
      </c>
      <c r="T36" s="264">
        <f t="shared" si="6"/>
        <v>62.535529352617893</v>
      </c>
    </row>
    <row r="37" spans="1:20" ht="13.8" thickTop="1" x14ac:dyDescent="0.25"/>
  </sheetData>
  <sheetProtection sheet="1" objects="1" scenarios="1"/>
  <mergeCells count="12">
    <mergeCell ref="P7:R7"/>
    <mergeCell ref="S7:T7"/>
    <mergeCell ref="A3:T3"/>
    <mergeCell ref="A5:A8"/>
    <mergeCell ref="B5:D7"/>
    <mergeCell ref="E5:T5"/>
    <mergeCell ref="E6:G7"/>
    <mergeCell ref="H6:L6"/>
    <mergeCell ref="M6:O7"/>
    <mergeCell ref="P6:T6"/>
    <mergeCell ref="H7:J7"/>
    <mergeCell ref="K7:L7"/>
  </mergeCells>
  <pageMargins left="0.39370078740157483" right="0.39370078740157483" top="0.59055118110236227" bottom="0.59055118110236227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P1"/>
  <sheetViews>
    <sheetView zoomScaleNormal="100" zoomScaleSheetLayoutView="130" workbookViewId="0">
      <selection activeCell="H7" sqref="H7:J7"/>
    </sheetView>
  </sheetViews>
  <sheetFormatPr defaultRowHeight="13.8" x14ac:dyDescent="0.25"/>
  <sheetData>
    <row r="1" spans="16:16" x14ac:dyDescent="0.25">
      <c r="P1" s="287" t="s">
        <v>491</v>
      </c>
    </row>
  </sheetData>
  <sheetProtection sheet="1" objects="1" scenarios="1"/>
  <pageMargins left="0.39370078740157483" right="0.39370078740157483" top="0.78740157480314965" bottom="0.39370078740157483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D8" activeCellId="1" sqref="F8 D8"/>
    </sheetView>
  </sheetViews>
  <sheetFormatPr defaultColWidth="8.19921875" defaultRowHeight="13.2" x14ac:dyDescent="0.25"/>
  <cols>
    <col min="1" max="1" width="29.59765625" style="254" customWidth="1"/>
    <col min="2" max="2" width="8.59765625" style="254" hidden="1" customWidth="1"/>
    <col min="3" max="3" width="8.5" style="254" hidden="1" customWidth="1"/>
    <col min="4" max="4" width="8.59765625" style="254" bestFit="1" customWidth="1"/>
    <col min="5" max="5" width="8.5" style="254" bestFit="1" customWidth="1"/>
    <col min="6" max="7" width="8.5" style="254" customWidth="1"/>
    <col min="8" max="9" width="9.19921875" style="254" customWidth="1"/>
    <col min="10" max="10" width="8.19921875" style="254"/>
    <col min="11" max="11" width="10.3984375" style="254" bestFit="1" customWidth="1"/>
    <col min="12" max="16384" width="8.19921875" style="254"/>
  </cols>
  <sheetData>
    <row r="1" spans="1:11" x14ac:dyDescent="0.25">
      <c r="J1" s="383" t="s">
        <v>492</v>
      </c>
    </row>
    <row r="3" spans="1:11" ht="13.8" x14ac:dyDescent="0.25">
      <c r="A3" s="416" t="s">
        <v>370</v>
      </c>
      <c r="B3" s="416"/>
      <c r="C3" s="416"/>
      <c r="D3" s="416"/>
      <c r="E3" s="416"/>
      <c r="F3" s="416"/>
      <c r="G3" s="416"/>
      <c r="H3" s="416"/>
      <c r="I3" s="416"/>
      <c r="J3" s="416"/>
    </row>
    <row r="4" spans="1:11" ht="13.5" thickBot="1" x14ac:dyDescent="0.25"/>
    <row r="5" spans="1:11" ht="13.8" thickTop="1" x14ac:dyDescent="0.25">
      <c r="A5" s="411" t="s">
        <v>371</v>
      </c>
      <c r="B5" s="417" t="s">
        <v>372</v>
      </c>
      <c r="C5" s="417"/>
      <c r="D5" s="417" t="s">
        <v>35</v>
      </c>
      <c r="E5" s="417"/>
      <c r="F5" s="417" t="s">
        <v>36</v>
      </c>
      <c r="G5" s="417"/>
      <c r="H5" s="417" t="s">
        <v>373</v>
      </c>
      <c r="I5" s="417"/>
      <c r="J5" s="418"/>
    </row>
    <row r="6" spans="1:11" ht="26.4" x14ac:dyDescent="0.25">
      <c r="A6" s="412"/>
      <c r="B6" s="274" t="s">
        <v>0</v>
      </c>
      <c r="C6" s="274" t="s">
        <v>374</v>
      </c>
      <c r="D6" s="274" t="s">
        <v>0</v>
      </c>
      <c r="E6" s="274" t="s">
        <v>375</v>
      </c>
      <c r="F6" s="274" t="s">
        <v>0</v>
      </c>
      <c r="G6" s="274" t="s">
        <v>375</v>
      </c>
      <c r="H6" s="274" t="s">
        <v>0</v>
      </c>
      <c r="I6" s="274" t="s">
        <v>376</v>
      </c>
      <c r="J6" s="275" t="s">
        <v>377</v>
      </c>
    </row>
    <row r="7" spans="1:11" s="278" customFormat="1" ht="10.199999999999999" x14ac:dyDescent="0.25">
      <c r="A7" s="255" t="s">
        <v>41</v>
      </c>
      <c r="B7" s="276"/>
      <c r="C7" s="276"/>
      <c r="D7" s="276">
        <v>1</v>
      </c>
      <c r="E7" s="276">
        <v>2</v>
      </c>
      <c r="F7" s="276">
        <v>3</v>
      </c>
      <c r="G7" s="276">
        <v>4</v>
      </c>
      <c r="H7" s="276" t="s">
        <v>378</v>
      </c>
      <c r="I7" s="276" t="s">
        <v>379</v>
      </c>
      <c r="J7" s="277" t="s">
        <v>380</v>
      </c>
    </row>
    <row r="8" spans="1:11" x14ac:dyDescent="0.25">
      <c r="A8" s="153" t="s">
        <v>381</v>
      </c>
      <c r="B8" s="259">
        <v>5097.0682038999994</v>
      </c>
      <c r="C8" s="259">
        <f>+B8/$B$23*100</f>
        <v>6.4414253332034477</v>
      </c>
      <c r="D8" s="259">
        <v>4942.7816187099997</v>
      </c>
      <c r="E8" s="259">
        <f>+D8/$D$23*100</f>
        <v>5.9696993040284489</v>
      </c>
      <c r="F8" s="259">
        <f>'[1]Прил. 2'!V51</f>
        <v>5528.8815600400003</v>
      </c>
      <c r="G8" s="259">
        <f>F8/$F$23*100</f>
        <v>6.8086724128729905</v>
      </c>
      <c r="H8" s="259">
        <f>F8-D8</f>
        <v>586.09994133000055</v>
      </c>
      <c r="I8" s="259">
        <f>G8-E8</f>
        <v>0.83897310884454157</v>
      </c>
      <c r="J8" s="261">
        <f>F8/D8%</f>
        <v>111.85769444297166</v>
      </c>
      <c r="K8" s="279"/>
    </row>
    <row r="9" spans="1:11" x14ac:dyDescent="0.25">
      <c r="A9" s="153" t="s">
        <v>382</v>
      </c>
      <c r="B9" s="259">
        <v>31.48089075</v>
      </c>
      <c r="C9" s="259">
        <f t="shared" ref="C9:C22" si="0">+B9/$B$23*100</f>
        <v>3.9784008978671785E-2</v>
      </c>
      <c r="D9" s="259">
        <v>30.5050569</v>
      </c>
      <c r="E9" s="259">
        <f>+D9/$D$23*100</f>
        <v>3.6842820701596252E-2</v>
      </c>
      <c r="F9" s="259">
        <f>'[1]Прил. 2'!V53</f>
        <v>30.831841470000001</v>
      </c>
      <c r="G9" s="259">
        <f t="shared" ref="G9:G23" si="1">F9/$F$23*100</f>
        <v>3.7968602903720665E-2</v>
      </c>
      <c r="H9" s="259">
        <f t="shared" ref="H9:I23" si="2">F9-D9</f>
        <v>0.32678457000000094</v>
      </c>
      <c r="I9" s="259">
        <f>G9-E9</f>
        <v>1.1257822021244132E-3</v>
      </c>
      <c r="J9" s="261">
        <f t="shared" ref="J9:J23" si="3">F9/D9%</f>
        <v>101.07124720688523</v>
      </c>
      <c r="K9" s="279"/>
    </row>
    <row r="10" spans="1:11" ht="26.4" x14ac:dyDescent="0.25">
      <c r="A10" s="153" t="s">
        <v>383</v>
      </c>
      <c r="B10" s="259">
        <v>1311.92613265</v>
      </c>
      <c r="C10" s="259">
        <f t="shared" si="0"/>
        <v>1.6579480375948943</v>
      </c>
      <c r="D10" s="259">
        <v>1247.6870785999999</v>
      </c>
      <c r="E10" s="259">
        <f>+D10/$D$23*100</f>
        <v>1.5069079031469774</v>
      </c>
      <c r="F10" s="259">
        <f>'[1]Прил. 2'!V55</f>
        <v>1308.22299529</v>
      </c>
      <c r="G10" s="259">
        <f t="shared" si="1"/>
        <v>1.6110422553259853</v>
      </c>
      <c r="H10" s="259">
        <f t="shared" si="2"/>
        <v>60.535916690000022</v>
      </c>
      <c r="I10" s="259">
        <f t="shared" si="2"/>
        <v>0.10413435217900791</v>
      </c>
      <c r="J10" s="261">
        <f t="shared" si="3"/>
        <v>104.85185089501175</v>
      </c>
      <c r="K10" s="279"/>
    </row>
    <row r="11" spans="1:11" x14ac:dyDescent="0.25">
      <c r="A11" s="153" t="s">
        <v>384</v>
      </c>
      <c r="B11" s="259">
        <v>10639.89718285</v>
      </c>
      <c r="C11" s="259">
        <f t="shared" si="0"/>
        <v>13.446181317301164</v>
      </c>
      <c r="D11" s="259">
        <v>10145.758548239999</v>
      </c>
      <c r="E11" s="259">
        <f>+D11/$D$23*100</f>
        <v>12.253652379664757</v>
      </c>
      <c r="F11" s="259">
        <f>'[1]Прил. 2'!V57</f>
        <v>10271.500906950001</v>
      </c>
      <c r="G11" s="259">
        <f t="shared" si="1"/>
        <v>12.64908356319436</v>
      </c>
      <c r="H11" s="259">
        <f t="shared" si="2"/>
        <v>125.74235871000201</v>
      </c>
      <c r="I11" s="259">
        <f t="shared" si="2"/>
        <v>0.39543118352960249</v>
      </c>
      <c r="J11" s="261">
        <f t="shared" si="3"/>
        <v>101.23935887210537</v>
      </c>
      <c r="K11" s="279"/>
    </row>
    <row r="12" spans="1:11" s="283" customFormat="1" ht="26.4" x14ac:dyDescent="0.25">
      <c r="A12" s="280" t="s">
        <v>385</v>
      </c>
      <c r="B12" s="281">
        <v>5795.7153361199998</v>
      </c>
      <c r="C12" s="281">
        <f t="shared" si="0"/>
        <v>7.3243413854172434</v>
      </c>
      <c r="D12" s="281">
        <v>5479.8</v>
      </c>
      <c r="E12" s="281">
        <f>+D12/$D$23*100</f>
        <v>6.6182892083249039</v>
      </c>
      <c r="F12" s="281">
        <f>'[1]Прил. 2'!V70</f>
        <v>6250.7600527200002</v>
      </c>
      <c r="G12" s="281">
        <f t="shared" si="1"/>
        <v>7.6976468148714101</v>
      </c>
      <c r="H12" s="259">
        <f t="shared" si="2"/>
        <v>770.96005272000002</v>
      </c>
      <c r="I12" s="281">
        <f t="shared" si="2"/>
        <v>1.0793576065465063</v>
      </c>
      <c r="J12" s="282">
        <f t="shared" si="3"/>
        <v>114.06912757253914</v>
      </c>
      <c r="K12" s="279"/>
    </row>
    <row r="13" spans="1:11" x14ac:dyDescent="0.25">
      <c r="A13" s="153" t="s">
        <v>386</v>
      </c>
      <c r="B13" s="259">
        <v>6775.9064881499999</v>
      </c>
      <c r="C13" s="259">
        <f t="shared" si="0"/>
        <v>8.5630589904194512</v>
      </c>
      <c r="D13" s="259">
        <v>7999.6</v>
      </c>
      <c r="E13" s="259">
        <f t="shared" ref="E13:E22" si="4">+D13/$D$23*100</f>
        <v>9.6616055970867372</v>
      </c>
      <c r="F13" s="259">
        <f>'[1]Прил. 2'!V76</f>
        <v>7492.6026993599999</v>
      </c>
      <c r="G13" s="259">
        <f t="shared" si="1"/>
        <v>9.2269434144617559</v>
      </c>
      <c r="H13" s="259">
        <f t="shared" si="2"/>
        <v>-506.9973006400005</v>
      </c>
      <c r="I13" s="259">
        <f t="shared" si="2"/>
        <v>-0.43466218262498124</v>
      </c>
      <c r="J13" s="261">
        <f t="shared" si="3"/>
        <v>93.662216852842633</v>
      </c>
      <c r="K13" s="279"/>
    </row>
    <row r="14" spans="1:11" x14ac:dyDescent="0.25">
      <c r="A14" s="153" t="s">
        <v>387</v>
      </c>
      <c r="B14" s="259">
        <v>83.974878510000011</v>
      </c>
      <c r="C14" s="259">
        <f t="shared" si="0"/>
        <v>0.10612334152662797</v>
      </c>
      <c r="D14" s="259">
        <v>86</v>
      </c>
      <c r="E14" s="259">
        <f t="shared" si="4"/>
        <v>0.1038674535413595</v>
      </c>
      <c r="F14" s="259">
        <f>'[1]Прил. 2'!V86</f>
        <v>60.301307969999996</v>
      </c>
      <c r="G14" s="259">
        <f t="shared" si="1"/>
        <v>7.4259476817681497E-2</v>
      </c>
      <c r="H14" s="259">
        <f t="shared" si="2"/>
        <v>-25.698692030000004</v>
      </c>
      <c r="I14" s="259">
        <v>0</v>
      </c>
      <c r="J14" s="261">
        <f t="shared" si="3"/>
        <v>70.117799965116276</v>
      </c>
      <c r="K14" s="279"/>
    </row>
    <row r="15" spans="1:11" x14ac:dyDescent="0.25">
      <c r="A15" s="153" t="s">
        <v>388</v>
      </c>
      <c r="B15" s="259">
        <v>25512.11064364</v>
      </c>
      <c r="C15" s="259">
        <f t="shared" si="0"/>
        <v>32.240956806835015</v>
      </c>
      <c r="D15" s="259">
        <v>26915.7</v>
      </c>
      <c r="E15" s="259">
        <f t="shared" si="4"/>
        <v>32.507735107943837</v>
      </c>
      <c r="F15" s="259">
        <f>'[1]Прил. 2'!V88</f>
        <v>24933.276963380002</v>
      </c>
      <c r="G15" s="259">
        <f t="shared" si="1"/>
        <v>30.704675652675554</v>
      </c>
      <c r="H15" s="259">
        <f t="shared" si="2"/>
        <v>-1982.423036619999</v>
      </c>
      <c r="I15" s="259">
        <f t="shared" si="2"/>
        <v>-1.8030594552682828</v>
      </c>
      <c r="J15" s="261">
        <f t="shared" si="3"/>
        <v>92.63469634220921</v>
      </c>
      <c r="K15" s="279"/>
    </row>
    <row r="16" spans="1:11" x14ac:dyDescent="0.25">
      <c r="A16" s="153" t="s">
        <v>389</v>
      </c>
      <c r="B16" s="259">
        <v>2429.0693270700003</v>
      </c>
      <c r="C16" s="259">
        <f t="shared" si="0"/>
        <v>3.069738931004331</v>
      </c>
      <c r="D16" s="259">
        <v>2396.4</v>
      </c>
      <c r="E16" s="259">
        <f t="shared" si="4"/>
        <v>2.8942786705408596</v>
      </c>
      <c r="F16" s="259">
        <f>'[1]Прил. 2'!V90</f>
        <v>2488.1388419800001</v>
      </c>
      <c r="G16" s="259">
        <f t="shared" si="1"/>
        <v>3.0640776274224275</v>
      </c>
      <c r="H16" s="259">
        <f t="shared" si="2"/>
        <v>91.738841979999961</v>
      </c>
      <c r="I16" s="259">
        <f t="shared" si="2"/>
        <v>0.16979895688156788</v>
      </c>
      <c r="J16" s="261">
        <f t="shared" si="3"/>
        <v>103.828194040227</v>
      </c>
      <c r="K16" s="279"/>
    </row>
    <row r="17" spans="1:11" x14ac:dyDescent="0.25">
      <c r="A17" s="153" t="s">
        <v>390</v>
      </c>
      <c r="B17" s="259">
        <v>11180.486244559999</v>
      </c>
      <c r="C17" s="259">
        <f t="shared" si="0"/>
        <v>14.129351315749902</v>
      </c>
      <c r="D17" s="259">
        <v>12766.3</v>
      </c>
      <c r="E17" s="259">
        <f t="shared" si="4"/>
        <v>15.418640373779741</v>
      </c>
      <c r="F17" s="259">
        <f>'[1]Прил. 2'!V92</f>
        <v>13969.248195910001</v>
      </c>
      <c r="G17" s="259">
        <f t="shared" si="1"/>
        <v>17.202762220028472</v>
      </c>
      <c r="H17" s="259">
        <f t="shared" si="2"/>
        <v>1202.9481959100012</v>
      </c>
      <c r="I17" s="259">
        <f t="shared" si="2"/>
        <v>1.7841218462487305</v>
      </c>
      <c r="J17" s="261">
        <f t="shared" si="3"/>
        <v>109.42284135505199</v>
      </c>
      <c r="K17" s="279"/>
    </row>
    <row r="18" spans="1:11" x14ac:dyDescent="0.25">
      <c r="A18" s="153" t="s">
        <v>391</v>
      </c>
      <c r="B18" s="259">
        <v>12348.05706573</v>
      </c>
      <c r="C18" s="259">
        <f t="shared" si="0"/>
        <v>15.604870175795579</v>
      </c>
      <c r="D18" s="259">
        <v>12736</v>
      </c>
      <c r="E18" s="259">
        <f t="shared" si="4"/>
        <v>15.382045212822728</v>
      </c>
      <c r="F18" s="259">
        <f>'[1]Прил. 2'!V98</f>
        <v>12536.497507209999</v>
      </c>
      <c r="G18" s="259">
        <f t="shared" si="1"/>
        <v>15.438367381263667</v>
      </c>
      <c r="H18" s="259">
        <f t="shared" si="2"/>
        <v>-199.50249279000127</v>
      </c>
      <c r="I18" s="259">
        <f t="shared" si="2"/>
        <v>5.632216844093918E-2</v>
      </c>
      <c r="J18" s="261">
        <f t="shared" si="3"/>
        <v>98.433554547817195</v>
      </c>
      <c r="K18" s="279"/>
    </row>
    <row r="19" spans="1:11" x14ac:dyDescent="0.25">
      <c r="A19" s="153" t="s">
        <v>392</v>
      </c>
      <c r="B19" s="259">
        <v>742.84495419000007</v>
      </c>
      <c r="C19" s="259">
        <f t="shared" si="0"/>
        <v>0.93877109647083279</v>
      </c>
      <c r="D19" s="259">
        <v>894.9</v>
      </c>
      <c r="E19" s="259">
        <f t="shared" si="4"/>
        <v>1.0808253973739839</v>
      </c>
      <c r="F19" s="259">
        <f>'[1]Прил. 2'!V100</f>
        <v>735.28522615999998</v>
      </c>
      <c r="G19" s="259">
        <f t="shared" si="1"/>
        <v>0.90548444212150014</v>
      </c>
      <c r="H19" s="259">
        <f t="shared" si="2"/>
        <v>-159.61477384</v>
      </c>
      <c r="I19" s="259">
        <f t="shared" si="2"/>
        <v>-0.17534095525248372</v>
      </c>
      <c r="J19" s="261">
        <f t="shared" si="3"/>
        <v>82.163954202704218</v>
      </c>
      <c r="K19" s="279"/>
    </row>
    <row r="20" spans="1:11" x14ac:dyDescent="0.25">
      <c r="A20" s="153" t="s">
        <v>393</v>
      </c>
      <c r="B20" s="259">
        <v>140.24708447</v>
      </c>
      <c r="C20" s="259">
        <f t="shared" si="0"/>
        <v>0.17723740132057797</v>
      </c>
      <c r="D20" s="259">
        <v>120.3</v>
      </c>
      <c r="E20" s="259">
        <f t="shared" si="4"/>
        <v>0.14529365884913426</v>
      </c>
      <c r="F20" s="259">
        <f>'[1]Прил. 2'!V102</f>
        <v>115.38270308</v>
      </c>
      <c r="G20" s="259">
        <f t="shared" si="1"/>
        <v>0.14209076806084225</v>
      </c>
      <c r="H20" s="259">
        <f t="shared" si="2"/>
        <v>-4.9172969199999983</v>
      </c>
      <c r="I20" s="259">
        <v>0</v>
      </c>
      <c r="J20" s="261">
        <f t="shared" si="3"/>
        <v>95.912471388196167</v>
      </c>
      <c r="K20" s="279"/>
    </row>
    <row r="21" spans="1:11" ht="26.4" x14ac:dyDescent="0.25">
      <c r="A21" s="153" t="s">
        <v>394</v>
      </c>
      <c r="B21" s="259">
        <v>1456.8755622599999</v>
      </c>
      <c r="C21" s="259">
        <f t="shared" si="0"/>
        <v>1.8411280325592232</v>
      </c>
      <c r="D21" s="259">
        <v>1815.6</v>
      </c>
      <c r="E21" s="259">
        <f t="shared" si="4"/>
        <v>2.1928110308103754</v>
      </c>
      <c r="F21" s="259">
        <f>'[1]Прил. 2'!V103</f>
        <v>1733.3477166600001</v>
      </c>
      <c r="G21" s="259">
        <f t="shared" si="1"/>
        <v>2.1345721828510191</v>
      </c>
      <c r="H21" s="259">
        <f t="shared" si="2"/>
        <v>-82.252283339999849</v>
      </c>
      <c r="I21" s="259">
        <f t="shared" si="2"/>
        <v>-5.8238847959356299E-2</v>
      </c>
      <c r="J21" s="261">
        <f t="shared" si="3"/>
        <v>95.469691378056851</v>
      </c>
      <c r="K21" s="279"/>
    </row>
    <row r="22" spans="1:11" ht="26.4" x14ac:dyDescent="0.25">
      <c r="A22" s="153" t="s">
        <v>395</v>
      </c>
      <c r="B22" s="259">
        <v>1379.5637999999999</v>
      </c>
      <c r="C22" s="259">
        <f t="shared" si="0"/>
        <v>1.7434252112402686</v>
      </c>
      <c r="D22" s="259">
        <v>700.3</v>
      </c>
      <c r="E22" s="259">
        <f t="shared" si="4"/>
        <v>0.84579508970946582</v>
      </c>
      <c r="F22" s="259">
        <f>'[1]Прил. 2'!V104</f>
        <v>0</v>
      </c>
      <c r="G22" s="259">
        <f t="shared" si="1"/>
        <v>0</v>
      </c>
      <c r="H22" s="259">
        <f t="shared" si="2"/>
        <v>-700.3</v>
      </c>
      <c r="I22" s="259">
        <f t="shared" si="2"/>
        <v>-0.84579508970946582</v>
      </c>
      <c r="J22" s="261">
        <f t="shared" si="3"/>
        <v>0</v>
      </c>
      <c r="K22" s="279"/>
    </row>
    <row r="23" spans="1:11" s="285" customFormat="1" ht="22.5" customHeight="1" thickBot="1" x14ac:dyDescent="0.3">
      <c r="A23" s="284" t="s">
        <v>396</v>
      </c>
      <c r="B23" s="263">
        <f>+B8+B9+B10+B11+B13+B14+B15+B16+B17+B18+B19+B20+B21+B22</f>
        <v>79129.508458730008</v>
      </c>
      <c r="C23" s="263">
        <v>100</v>
      </c>
      <c r="D23" s="263">
        <f>+D8+D9+D10+D11+D13+D14+D15+D16+D17+D18+D19+D20+D21+D22</f>
        <v>82797.832302449999</v>
      </c>
      <c r="E23" s="263">
        <v>100</v>
      </c>
      <c r="F23" s="263">
        <f>+F8+F9+F10+F11+F13+F14+F15+F16+F17+F18+F19+F20+F21+F22</f>
        <v>81203.518465460016</v>
      </c>
      <c r="G23" s="263">
        <f t="shared" si="1"/>
        <v>100</v>
      </c>
      <c r="H23" s="263">
        <f t="shared" si="2"/>
        <v>-1594.3138369899825</v>
      </c>
      <c r="I23" s="263">
        <f t="shared" si="2"/>
        <v>0</v>
      </c>
      <c r="J23" s="264">
        <f t="shared" si="3"/>
        <v>98.074449786117398</v>
      </c>
      <c r="K23" s="279"/>
    </row>
    <row r="24" spans="1:11" ht="13.8" thickTop="1" x14ac:dyDescent="0.25"/>
    <row r="25" spans="1:11" ht="12.75" hidden="1" x14ac:dyDescent="0.2">
      <c r="F25" s="286">
        <f>F17+F18</f>
        <v>26505.745703119999</v>
      </c>
    </row>
    <row r="26" spans="1:11" ht="12.75" hidden="1" x14ac:dyDescent="0.2">
      <c r="F26" s="254">
        <f>F25/F23%</f>
        <v>32.641129601292143</v>
      </c>
    </row>
  </sheetData>
  <sheetProtection sheet="1" objects="1" scenarios="1"/>
  <mergeCells count="6">
    <mergeCell ref="A3:J3"/>
    <mergeCell ref="A5:A6"/>
    <mergeCell ref="B5:C5"/>
    <mergeCell ref="D5:E5"/>
    <mergeCell ref="F5:G5"/>
    <mergeCell ref="H5:J5"/>
  </mergeCells>
  <printOptions horizontalCentered="1"/>
  <pageMargins left="0.70866141732283472" right="0.39370078740157483" top="0.59055118110236227" bottom="0.59055118110236227" header="0.31496062992125984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I8" sqref="I8"/>
    </sheetView>
  </sheetViews>
  <sheetFormatPr defaultColWidth="8.19921875" defaultRowHeight="13.2" x14ac:dyDescent="0.25"/>
  <cols>
    <col min="1" max="1" width="21.69921875" style="205" customWidth="1"/>
    <col min="2" max="2" width="12.69921875" style="206" hidden="1" customWidth="1"/>
    <col min="3" max="3" width="11.09765625" style="206" hidden="1" customWidth="1"/>
    <col min="4" max="4" width="6.59765625" style="206" hidden="1" customWidth="1"/>
    <col min="5" max="6" width="11.09765625" style="206" hidden="1" customWidth="1"/>
    <col min="7" max="7" width="10.3984375" style="206" hidden="1" customWidth="1"/>
    <col min="8" max="8" width="14.8984375" style="206" customWidth="1"/>
    <col min="9" max="9" width="13.59765625" style="206" customWidth="1"/>
    <col min="10" max="10" width="11.09765625" style="206" customWidth="1"/>
    <col min="11" max="12" width="11.19921875" style="206" customWidth="1"/>
    <col min="13" max="13" width="9.69921875" style="206" customWidth="1"/>
    <col min="14" max="14" width="12.59765625" style="206" customWidth="1"/>
    <col min="15" max="15" width="12.69921875" style="206" customWidth="1"/>
    <col min="16" max="16" width="10.8984375" style="206" customWidth="1"/>
    <col min="17" max="16384" width="8.19921875" style="286"/>
  </cols>
  <sheetData>
    <row r="1" spans="1:16" x14ac:dyDescent="0.25">
      <c r="P1" s="207" t="s">
        <v>494</v>
      </c>
    </row>
    <row r="3" spans="1:16" s="254" customFormat="1" ht="28.95" customHeight="1" x14ac:dyDescent="0.25">
      <c r="A3" s="421" t="s">
        <v>444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</row>
    <row r="4" spans="1:16" s="254" customFormat="1" ht="13.5" thickBot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</row>
    <row r="5" spans="1:16" s="319" customFormat="1" ht="13.8" thickTop="1" x14ac:dyDescent="0.25">
      <c r="A5" s="422" t="s">
        <v>50</v>
      </c>
      <c r="B5" s="424" t="s">
        <v>397</v>
      </c>
      <c r="C5" s="424"/>
      <c r="D5" s="424" t="s">
        <v>398</v>
      </c>
      <c r="E5" s="424" t="s">
        <v>399</v>
      </c>
      <c r="F5" s="424"/>
      <c r="G5" s="424" t="s">
        <v>398</v>
      </c>
      <c r="H5" s="424" t="s">
        <v>400</v>
      </c>
      <c r="I5" s="424"/>
      <c r="J5" s="424" t="s">
        <v>443</v>
      </c>
      <c r="K5" s="424" t="s">
        <v>445</v>
      </c>
      <c r="L5" s="424"/>
      <c r="M5" s="424" t="s">
        <v>443</v>
      </c>
      <c r="N5" s="424" t="s">
        <v>401</v>
      </c>
      <c r="O5" s="424"/>
      <c r="P5" s="419" t="s">
        <v>443</v>
      </c>
    </row>
    <row r="6" spans="1:16" s="319" customFormat="1" x14ac:dyDescent="0.25">
      <c r="A6" s="423"/>
      <c r="B6" s="227" t="s">
        <v>35</v>
      </c>
      <c r="C6" s="227" t="s">
        <v>36</v>
      </c>
      <c r="D6" s="425"/>
      <c r="E6" s="227" t="s">
        <v>35</v>
      </c>
      <c r="F6" s="227" t="s">
        <v>36</v>
      </c>
      <c r="G6" s="425"/>
      <c r="H6" s="227" t="s">
        <v>35</v>
      </c>
      <c r="I6" s="227" t="s">
        <v>36</v>
      </c>
      <c r="J6" s="425"/>
      <c r="K6" s="227" t="s">
        <v>35</v>
      </c>
      <c r="L6" s="227" t="s">
        <v>36</v>
      </c>
      <c r="M6" s="425"/>
      <c r="N6" s="227" t="s">
        <v>35</v>
      </c>
      <c r="O6" s="227" t="s">
        <v>36</v>
      </c>
      <c r="P6" s="420"/>
    </row>
    <row r="7" spans="1:16" s="320" customFormat="1" ht="20.399999999999999" x14ac:dyDescent="0.25">
      <c r="A7" s="288" t="s">
        <v>41</v>
      </c>
      <c r="B7" s="289">
        <v>1</v>
      </c>
      <c r="C7" s="289">
        <v>2</v>
      </c>
      <c r="D7" s="289" t="s">
        <v>402</v>
      </c>
      <c r="E7" s="289">
        <v>4</v>
      </c>
      <c r="F7" s="289">
        <v>5</v>
      </c>
      <c r="G7" s="289" t="s">
        <v>403</v>
      </c>
      <c r="H7" s="289">
        <v>1</v>
      </c>
      <c r="I7" s="289">
        <v>2</v>
      </c>
      <c r="J7" s="289">
        <v>3</v>
      </c>
      <c r="K7" s="289">
        <v>4</v>
      </c>
      <c r="L7" s="289">
        <v>5</v>
      </c>
      <c r="M7" s="289">
        <v>6</v>
      </c>
      <c r="N7" s="289">
        <v>7</v>
      </c>
      <c r="O7" s="289">
        <v>8</v>
      </c>
      <c r="P7" s="290">
        <v>9</v>
      </c>
    </row>
    <row r="8" spans="1:16" x14ac:dyDescent="0.25">
      <c r="A8" s="134" t="s">
        <v>324</v>
      </c>
      <c r="B8" s="29">
        <v>537038.28373999998</v>
      </c>
      <c r="C8" s="29">
        <v>547266.74751000002</v>
      </c>
      <c r="D8" s="292">
        <f>C8/B8-100%</f>
        <v>1.9046060736615855E-2</v>
      </c>
      <c r="E8" s="29">
        <v>156120.45416000002</v>
      </c>
      <c r="F8" s="29">
        <v>139527.51168</v>
      </c>
      <c r="G8" s="293">
        <f>F8/E8-100%</f>
        <v>-0.10628295036212709</v>
      </c>
      <c r="H8" s="29">
        <f t="shared" ref="H8:I33" si="0">B8+E8</f>
        <v>693158.73790000007</v>
      </c>
      <c r="I8" s="29">
        <f t="shared" si="0"/>
        <v>686794.25919000001</v>
      </c>
      <c r="J8" s="292">
        <f>I8/H8-100%</f>
        <v>-9.1818487772107327E-3</v>
      </c>
      <c r="K8" s="294">
        <v>2843</v>
      </c>
      <c r="L8" s="294">
        <v>2746</v>
      </c>
      <c r="M8" s="292">
        <f>L8/K8-100%</f>
        <v>-3.4118888498065436E-2</v>
      </c>
      <c r="N8" s="294">
        <f>H8/K8/12*1000</f>
        <v>20317.702482706063</v>
      </c>
      <c r="O8" s="294">
        <f>I8/L8/12*1000</f>
        <v>20842.263267479972</v>
      </c>
      <c r="P8" s="296">
        <f>O8/N8-100%</f>
        <v>2.5817918399996254E-2</v>
      </c>
    </row>
    <row r="9" spans="1:16" x14ac:dyDescent="0.25">
      <c r="A9" s="134" t="s">
        <v>325</v>
      </c>
      <c r="B9" s="29">
        <v>266606.07344000001</v>
      </c>
      <c r="C9" s="29">
        <v>265302.15218999999</v>
      </c>
      <c r="D9" s="293">
        <f t="shared" ref="D9:D36" si="1">C9/B9-100%</f>
        <v>-4.8908160012095525E-3</v>
      </c>
      <c r="E9" s="29">
        <v>37486.805980000005</v>
      </c>
      <c r="F9" s="29">
        <v>39029.911900000006</v>
      </c>
      <c r="G9" s="292">
        <f t="shared" ref="G9:G36" si="2">F9/E9-100%</f>
        <v>4.1163974354691213E-2</v>
      </c>
      <c r="H9" s="29">
        <f t="shared" si="0"/>
        <v>304092.87942000001</v>
      </c>
      <c r="I9" s="29">
        <f t="shared" si="0"/>
        <v>304332.06409</v>
      </c>
      <c r="J9" s="292">
        <f t="shared" ref="J9:J36" si="3">I9/H9-100%</f>
        <v>7.8655136699090633E-4</v>
      </c>
      <c r="K9" s="294">
        <v>1267</v>
      </c>
      <c r="L9" s="294">
        <v>1137</v>
      </c>
      <c r="M9" s="293">
        <f t="shared" ref="M9:M36" si="4">L9/K9-100%</f>
        <v>-0.10260457774269927</v>
      </c>
      <c r="N9" s="294">
        <f t="shared" ref="N9:N36" si="5">H9/K9/12*1000</f>
        <v>20000.847107340174</v>
      </c>
      <c r="O9" s="294">
        <f t="shared" ref="O9:O36" si="6">I9/L9/12*1000</f>
        <v>22305.193791410144</v>
      </c>
      <c r="P9" s="297">
        <f t="shared" ref="P9:P36" si="7">O9/N9-100%</f>
        <v>0.1152124543377111</v>
      </c>
    </row>
    <row r="10" spans="1:16" x14ac:dyDescent="0.25">
      <c r="A10" s="134" t="s">
        <v>326</v>
      </c>
      <c r="B10" s="29">
        <v>173654.41340000002</v>
      </c>
      <c r="C10" s="29">
        <v>183322.15672</v>
      </c>
      <c r="D10" s="292">
        <f t="shared" si="1"/>
        <v>5.567231566830988E-2</v>
      </c>
      <c r="E10" s="29">
        <v>35479.406630000005</v>
      </c>
      <c r="F10" s="29">
        <v>35180.853090000004</v>
      </c>
      <c r="G10" s="293">
        <f t="shared" si="2"/>
        <v>-8.4148402794187449E-3</v>
      </c>
      <c r="H10" s="29">
        <f t="shared" si="0"/>
        <v>209133.82003000003</v>
      </c>
      <c r="I10" s="29">
        <f t="shared" si="0"/>
        <v>218503.00981000002</v>
      </c>
      <c r="J10" s="293">
        <f t="shared" si="3"/>
        <v>4.4799974383177066E-2</v>
      </c>
      <c r="K10" s="294">
        <v>760</v>
      </c>
      <c r="L10" s="294">
        <v>723</v>
      </c>
      <c r="M10" s="292">
        <f t="shared" si="4"/>
        <v>-4.8684210526315774E-2</v>
      </c>
      <c r="N10" s="294">
        <f t="shared" si="5"/>
        <v>22931.339915570177</v>
      </c>
      <c r="O10" s="294">
        <f t="shared" si="6"/>
        <v>25184.763694098663</v>
      </c>
      <c r="P10" s="296">
        <f t="shared" si="7"/>
        <v>9.826829948992355E-2</v>
      </c>
    </row>
    <row r="11" spans="1:16" x14ac:dyDescent="0.25">
      <c r="A11" s="134" t="s">
        <v>327</v>
      </c>
      <c r="B11" s="29">
        <v>220528.33960000001</v>
      </c>
      <c r="C11" s="29">
        <v>226111.60808000001</v>
      </c>
      <c r="D11" s="292">
        <f t="shared" si="1"/>
        <v>2.5317691549880061E-2</v>
      </c>
      <c r="E11" s="29">
        <v>40880.046969999989</v>
      </c>
      <c r="F11" s="29">
        <v>43429.034929999994</v>
      </c>
      <c r="G11" s="292">
        <f t="shared" si="2"/>
        <v>6.2352862800539199E-2</v>
      </c>
      <c r="H11" s="29">
        <f t="shared" si="0"/>
        <v>261408.38657</v>
      </c>
      <c r="I11" s="29">
        <f t="shared" si="0"/>
        <v>269540.64301</v>
      </c>
      <c r="J11" s="292">
        <f t="shared" si="3"/>
        <v>3.1109393798359752E-2</v>
      </c>
      <c r="K11" s="294">
        <v>852</v>
      </c>
      <c r="L11" s="294">
        <v>813</v>
      </c>
      <c r="M11" s="292">
        <f t="shared" si="4"/>
        <v>-4.5774647887323994E-2</v>
      </c>
      <c r="N11" s="294">
        <f t="shared" si="5"/>
        <v>25568.112927425664</v>
      </c>
      <c r="O11" s="294">
        <f t="shared" si="6"/>
        <v>27628.192190446905</v>
      </c>
      <c r="P11" s="296">
        <f t="shared" si="7"/>
        <v>8.0572206046989781E-2</v>
      </c>
    </row>
    <row r="12" spans="1:16" x14ac:dyDescent="0.25">
      <c r="A12" s="134" t="s">
        <v>328</v>
      </c>
      <c r="B12" s="29">
        <v>239805.87695999999</v>
      </c>
      <c r="C12" s="29">
        <v>244486.40650000001</v>
      </c>
      <c r="D12" s="292">
        <f t="shared" si="1"/>
        <v>1.9517993467611072E-2</v>
      </c>
      <c r="E12" s="29">
        <v>42325.265200000002</v>
      </c>
      <c r="F12" s="29">
        <v>43149.908520000005</v>
      </c>
      <c r="G12" s="292">
        <f t="shared" si="2"/>
        <v>1.9483476739089678E-2</v>
      </c>
      <c r="H12" s="29">
        <f t="shared" si="0"/>
        <v>282131.14215999999</v>
      </c>
      <c r="I12" s="29">
        <f t="shared" si="0"/>
        <v>287636.31502000004</v>
      </c>
      <c r="J12" s="292">
        <f t="shared" si="3"/>
        <v>1.9512815273962314E-2</v>
      </c>
      <c r="K12" s="294">
        <v>1053</v>
      </c>
      <c r="L12" s="294">
        <v>1043</v>
      </c>
      <c r="M12" s="292">
        <f t="shared" si="4"/>
        <v>-9.4966761633428209E-3</v>
      </c>
      <c r="N12" s="294">
        <f t="shared" si="5"/>
        <v>22327.567439062994</v>
      </c>
      <c r="O12" s="294">
        <f t="shared" si="6"/>
        <v>22981.48889581336</v>
      </c>
      <c r="P12" s="296">
        <f t="shared" si="7"/>
        <v>2.9287626542168876E-2</v>
      </c>
    </row>
    <row r="13" spans="1:16" x14ac:dyDescent="0.25">
      <c r="A13" s="134" t="s">
        <v>329</v>
      </c>
      <c r="B13" s="29">
        <v>274196.46596</v>
      </c>
      <c r="C13" s="29">
        <v>275770.15226999996</v>
      </c>
      <c r="D13" s="292">
        <f t="shared" si="1"/>
        <v>5.7392654733541271E-3</v>
      </c>
      <c r="E13" s="29">
        <v>52638.320890000003</v>
      </c>
      <c r="F13" s="29">
        <v>56731.761300000006</v>
      </c>
      <c r="G13" s="292">
        <f t="shared" si="2"/>
        <v>7.7765406281750549E-2</v>
      </c>
      <c r="H13" s="29">
        <f t="shared" si="0"/>
        <v>326834.78685000003</v>
      </c>
      <c r="I13" s="29">
        <f t="shared" si="0"/>
        <v>332501.91356999998</v>
      </c>
      <c r="J13" s="292">
        <f t="shared" si="3"/>
        <v>1.733942330502547E-2</v>
      </c>
      <c r="K13" s="294">
        <v>1064.4000000000001</v>
      </c>
      <c r="L13" s="294">
        <v>1067</v>
      </c>
      <c r="M13" s="292">
        <f t="shared" si="4"/>
        <v>2.4426907177752533E-3</v>
      </c>
      <c r="N13" s="294">
        <f t="shared" si="5"/>
        <v>25588.342951428036</v>
      </c>
      <c r="O13" s="294">
        <f t="shared" si="6"/>
        <v>25968.596811152765</v>
      </c>
      <c r="P13" s="296">
        <f t="shared" si="7"/>
        <v>1.4860433145144736E-2</v>
      </c>
    </row>
    <row r="14" spans="1:16" x14ac:dyDescent="0.25">
      <c r="A14" s="134" t="s">
        <v>330</v>
      </c>
      <c r="B14" s="29">
        <v>251852.88106000001</v>
      </c>
      <c r="C14" s="29">
        <v>220473.69331</v>
      </c>
      <c r="D14" s="293">
        <f t="shared" si="1"/>
        <v>-0.12459332455491912</v>
      </c>
      <c r="E14" s="29">
        <v>57714.96933</v>
      </c>
      <c r="F14" s="29">
        <v>61381.271629999996</v>
      </c>
      <c r="G14" s="292">
        <f t="shared" si="2"/>
        <v>6.3524287417307201E-2</v>
      </c>
      <c r="H14" s="29">
        <f t="shared" si="0"/>
        <v>309567.85039000004</v>
      </c>
      <c r="I14" s="29">
        <f t="shared" si="0"/>
        <v>281854.96493999998</v>
      </c>
      <c r="J14" s="293">
        <f t="shared" si="3"/>
        <v>-8.9521200005384216E-2</v>
      </c>
      <c r="K14" s="294">
        <v>1331</v>
      </c>
      <c r="L14" s="294">
        <v>1201</v>
      </c>
      <c r="M14" s="292">
        <f t="shared" si="4"/>
        <v>-9.7670924117205127E-2</v>
      </c>
      <c r="N14" s="294">
        <f t="shared" si="5"/>
        <v>19381.908990107691</v>
      </c>
      <c r="O14" s="294">
        <f t="shared" si="6"/>
        <v>19556.963984179849</v>
      </c>
      <c r="P14" s="296">
        <f t="shared" si="7"/>
        <v>9.031875764224484E-3</v>
      </c>
    </row>
    <row r="15" spans="1:16" x14ac:dyDescent="0.25">
      <c r="A15" s="134" t="s">
        <v>331</v>
      </c>
      <c r="B15" s="29">
        <v>214362.57934</v>
      </c>
      <c r="C15" s="29">
        <v>220900.99778000001</v>
      </c>
      <c r="D15" s="292">
        <f t="shared" si="1"/>
        <v>3.050167832525208E-2</v>
      </c>
      <c r="E15" s="29">
        <v>42138.582909999997</v>
      </c>
      <c r="F15" s="29">
        <v>42399.265209999998</v>
      </c>
      <c r="G15" s="292">
        <f t="shared" si="2"/>
        <v>6.1863091256952885E-3</v>
      </c>
      <c r="H15" s="29">
        <f t="shared" si="0"/>
        <v>256501.16224999999</v>
      </c>
      <c r="I15" s="29">
        <f t="shared" si="0"/>
        <v>263300.26299000002</v>
      </c>
      <c r="J15" s="292">
        <f t="shared" si="3"/>
        <v>2.6507095251963264E-2</v>
      </c>
      <c r="K15" s="294">
        <v>850</v>
      </c>
      <c r="L15" s="294">
        <v>835</v>
      </c>
      <c r="M15" s="292">
        <f t="shared" si="4"/>
        <v>-1.764705882352946E-2</v>
      </c>
      <c r="N15" s="294">
        <f t="shared" si="5"/>
        <v>25147.172769607845</v>
      </c>
      <c r="O15" s="294">
        <f t="shared" si="6"/>
        <v>26277.471356287424</v>
      </c>
      <c r="P15" s="296">
        <f t="shared" si="7"/>
        <v>4.4947342472058116E-2</v>
      </c>
    </row>
    <row r="16" spans="1:16" x14ac:dyDescent="0.25">
      <c r="A16" s="134" t="s">
        <v>332</v>
      </c>
      <c r="B16" s="29">
        <v>223234.58878999998</v>
      </c>
      <c r="C16" s="29">
        <v>219679.45809999999</v>
      </c>
      <c r="D16" s="293">
        <f t="shared" si="1"/>
        <v>-1.5925536939727314E-2</v>
      </c>
      <c r="E16" s="29">
        <v>42381.100880000005</v>
      </c>
      <c r="F16" s="29">
        <v>42872.200950000006</v>
      </c>
      <c r="G16" s="292">
        <f t="shared" si="2"/>
        <v>1.1587713858366433E-2</v>
      </c>
      <c r="H16" s="29">
        <f t="shared" si="0"/>
        <v>265615.68966999999</v>
      </c>
      <c r="I16" s="29">
        <f t="shared" si="0"/>
        <v>262551.65905000002</v>
      </c>
      <c r="J16" s="292">
        <f t="shared" si="3"/>
        <v>-1.1535578428393034E-2</v>
      </c>
      <c r="K16" s="294">
        <v>799</v>
      </c>
      <c r="L16" s="294">
        <v>768</v>
      </c>
      <c r="M16" s="292">
        <f t="shared" si="4"/>
        <v>-3.8798498122653347E-2</v>
      </c>
      <c r="N16" s="294">
        <f t="shared" si="5"/>
        <v>27702.929669378387</v>
      </c>
      <c r="O16" s="294">
        <f t="shared" si="6"/>
        <v>28488.678282335073</v>
      </c>
      <c r="P16" s="296">
        <f t="shared" si="7"/>
        <v>2.8363376088169412E-2</v>
      </c>
    </row>
    <row r="17" spans="1:16" x14ac:dyDescent="0.25">
      <c r="A17" s="134" t="s">
        <v>333</v>
      </c>
      <c r="B17" s="29">
        <v>134686.15175999998</v>
      </c>
      <c r="C17" s="29">
        <v>139243.08083000002</v>
      </c>
      <c r="D17" s="292">
        <f t="shared" si="1"/>
        <v>3.3833686763284465E-2</v>
      </c>
      <c r="E17" s="29">
        <v>52696.732109999997</v>
      </c>
      <c r="F17" s="29">
        <v>54114.784589999996</v>
      </c>
      <c r="G17" s="292">
        <f t="shared" si="2"/>
        <v>2.6909685348987633E-2</v>
      </c>
      <c r="H17" s="29">
        <f t="shared" si="0"/>
        <v>187382.88386999996</v>
      </c>
      <c r="I17" s="29">
        <f t="shared" si="0"/>
        <v>193357.86542000002</v>
      </c>
      <c r="J17" s="292">
        <f t="shared" si="3"/>
        <v>3.1886485182634372E-2</v>
      </c>
      <c r="K17" s="294">
        <v>570</v>
      </c>
      <c r="L17" s="294">
        <v>466</v>
      </c>
      <c r="M17" s="293">
        <f t="shared" si="4"/>
        <v>-0.18245614035087721</v>
      </c>
      <c r="N17" s="294">
        <f t="shared" si="5"/>
        <v>27395.158460526309</v>
      </c>
      <c r="O17" s="294">
        <f t="shared" si="6"/>
        <v>34577.586806151652</v>
      </c>
      <c r="P17" s="297">
        <f t="shared" si="7"/>
        <v>0.26217874797017537</v>
      </c>
    </row>
    <row r="18" spans="1:16" x14ac:dyDescent="0.25">
      <c r="A18" s="134" t="s">
        <v>334</v>
      </c>
      <c r="B18" s="29">
        <v>191628.16372000001</v>
      </c>
      <c r="C18" s="29">
        <v>188045.51463999998</v>
      </c>
      <c r="D18" s="293">
        <f t="shared" si="1"/>
        <v>-1.8695837868774157E-2</v>
      </c>
      <c r="E18" s="29">
        <v>73839.77860000002</v>
      </c>
      <c r="F18" s="29">
        <v>85434.899639999989</v>
      </c>
      <c r="G18" s="292">
        <f t="shared" si="2"/>
        <v>0.15703082078309438</v>
      </c>
      <c r="H18" s="29">
        <f t="shared" si="0"/>
        <v>265467.94232000003</v>
      </c>
      <c r="I18" s="29">
        <f t="shared" si="0"/>
        <v>273480.41427999997</v>
      </c>
      <c r="J18" s="292">
        <f t="shared" si="3"/>
        <v>3.0182446475369717E-2</v>
      </c>
      <c r="K18" s="294">
        <v>722.25</v>
      </c>
      <c r="L18" s="294">
        <v>774</v>
      </c>
      <c r="M18" s="292">
        <f t="shared" si="4"/>
        <v>7.1651090342679025E-2</v>
      </c>
      <c r="N18" s="294">
        <f t="shared" si="5"/>
        <v>30629.73835467867</v>
      </c>
      <c r="O18" s="294">
        <f t="shared" si="6"/>
        <v>29444.489048234278</v>
      </c>
      <c r="P18" s="296">
        <f t="shared" si="7"/>
        <v>-3.8696031050599711E-2</v>
      </c>
    </row>
    <row r="19" spans="1:16" x14ac:dyDescent="0.25">
      <c r="A19" s="134" t="s">
        <v>335</v>
      </c>
      <c r="B19" s="29">
        <v>306426.84608999995</v>
      </c>
      <c r="C19" s="29">
        <v>317820.02661</v>
      </c>
      <c r="D19" s="292">
        <f t="shared" si="1"/>
        <v>3.7180751834823944E-2</v>
      </c>
      <c r="E19" s="29">
        <v>56039.434629999996</v>
      </c>
      <c r="F19" s="29">
        <v>57136.061160000005</v>
      </c>
      <c r="G19" s="292">
        <f t="shared" si="2"/>
        <v>1.956883643171059E-2</v>
      </c>
      <c r="H19" s="29">
        <f t="shared" si="0"/>
        <v>362466.28071999992</v>
      </c>
      <c r="I19" s="29">
        <f t="shared" si="0"/>
        <v>374956.08776999998</v>
      </c>
      <c r="J19" s="292">
        <f t="shared" si="3"/>
        <v>3.4457845362030337E-2</v>
      </c>
      <c r="K19" s="294">
        <v>1142</v>
      </c>
      <c r="L19" s="294">
        <v>1054</v>
      </c>
      <c r="M19" s="292">
        <f t="shared" si="4"/>
        <v>-7.7057793345008729E-2</v>
      </c>
      <c r="N19" s="294">
        <f t="shared" si="5"/>
        <v>26449.670221833036</v>
      </c>
      <c r="O19" s="294">
        <f t="shared" si="6"/>
        <v>29645.484485294117</v>
      </c>
      <c r="P19" s="297">
        <f t="shared" si="7"/>
        <v>0.12082624231825312</v>
      </c>
    </row>
    <row r="20" spans="1:16" x14ac:dyDescent="0.25">
      <c r="A20" s="134" t="s">
        <v>336</v>
      </c>
      <c r="B20" s="29">
        <v>340363.39525</v>
      </c>
      <c r="C20" s="29">
        <v>361483.21508999995</v>
      </c>
      <c r="D20" s="292">
        <f t="shared" si="1"/>
        <v>6.2050796691833554E-2</v>
      </c>
      <c r="E20" s="29">
        <v>61557.792430000001</v>
      </c>
      <c r="F20" s="29">
        <v>59892.625919999984</v>
      </c>
      <c r="G20" s="293">
        <f t="shared" si="2"/>
        <v>-2.7050458508458552E-2</v>
      </c>
      <c r="H20" s="29">
        <f t="shared" si="0"/>
        <v>401921.18767999997</v>
      </c>
      <c r="I20" s="29">
        <f t="shared" si="0"/>
        <v>421375.84100999992</v>
      </c>
      <c r="J20" s="293">
        <f t="shared" si="3"/>
        <v>4.8404149684911024E-2</v>
      </c>
      <c r="K20" s="294">
        <v>1732</v>
      </c>
      <c r="L20" s="294">
        <v>1687</v>
      </c>
      <c r="M20" s="292">
        <f t="shared" si="4"/>
        <v>-2.5981524249422683E-2</v>
      </c>
      <c r="N20" s="294">
        <f t="shared" si="5"/>
        <v>19338.009414934564</v>
      </c>
      <c r="O20" s="294">
        <f t="shared" si="6"/>
        <v>20814.85086988737</v>
      </c>
      <c r="P20" s="296">
        <f t="shared" si="7"/>
        <v>7.6369879818770636E-2</v>
      </c>
    </row>
    <row r="21" spans="1:16" x14ac:dyDescent="0.25">
      <c r="A21" s="134" t="s">
        <v>337</v>
      </c>
      <c r="B21" s="29">
        <v>500160.62212999997</v>
      </c>
      <c r="C21" s="29">
        <v>489453.78313</v>
      </c>
      <c r="D21" s="293">
        <f t="shared" si="1"/>
        <v>-2.1406801187993318E-2</v>
      </c>
      <c r="E21" s="29">
        <v>80381.33275999999</v>
      </c>
      <c r="F21" s="29">
        <v>81931.435200000007</v>
      </c>
      <c r="G21" s="292">
        <f t="shared" si="2"/>
        <v>1.9284358529215506E-2</v>
      </c>
      <c r="H21" s="29">
        <f t="shared" si="0"/>
        <v>580541.95488999994</v>
      </c>
      <c r="I21" s="29">
        <f t="shared" si="0"/>
        <v>571385.21833000006</v>
      </c>
      <c r="J21" s="292">
        <f t="shared" si="3"/>
        <v>-1.5772738701951172E-2</v>
      </c>
      <c r="K21" s="294">
        <v>1824</v>
      </c>
      <c r="L21" s="294">
        <v>1751</v>
      </c>
      <c r="M21" s="292">
        <f t="shared" si="4"/>
        <v>-4.0021929824561431E-2</v>
      </c>
      <c r="N21" s="294">
        <f t="shared" si="5"/>
        <v>26523.298377649851</v>
      </c>
      <c r="O21" s="294">
        <f t="shared" si="6"/>
        <v>27193.280902817438</v>
      </c>
      <c r="P21" s="296">
        <f t="shared" si="7"/>
        <v>2.5260151118013052E-2</v>
      </c>
    </row>
    <row r="22" spans="1:16" x14ac:dyDescent="0.25">
      <c r="A22" s="134" t="s">
        <v>338</v>
      </c>
      <c r="B22" s="29">
        <v>435743.51211000001</v>
      </c>
      <c r="C22" s="29">
        <v>443717.94757999998</v>
      </c>
      <c r="D22" s="292">
        <f t="shared" si="1"/>
        <v>1.8300755486605702E-2</v>
      </c>
      <c r="E22" s="29">
        <v>124884.06705999999</v>
      </c>
      <c r="F22" s="29">
        <v>122073.33819999998</v>
      </c>
      <c r="G22" s="293">
        <f t="shared" si="2"/>
        <v>-2.2506705027868779E-2</v>
      </c>
      <c r="H22" s="29">
        <f t="shared" si="0"/>
        <v>560627.57917000004</v>
      </c>
      <c r="I22" s="29">
        <f t="shared" si="0"/>
        <v>565791.28577999992</v>
      </c>
      <c r="J22" s="292">
        <f t="shared" si="3"/>
        <v>9.2105825718469259E-3</v>
      </c>
      <c r="K22" s="294">
        <v>1907</v>
      </c>
      <c r="L22" s="294">
        <v>1920.5</v>
      </c>
      <c r="M22" s="292">
        <f t="shared" si="4"/>
        <v>7.079181961195502E-3</v>
      </c>
      <c r="N22" s="294">
        <f t="shared" si="5"/>
        <v>24498.670650672964</v>
      </c>
      <c r="O22" s="294">
        <f t="shared" si="6"/>
        <v>24550.520080708142</v>
      </c>
      <c r="P22" s="296">
        <f t="shared" si="7"/>
        <v>2.1164181018022976E-3</v>
      </c>
    </row>
    <row r="23" spans="1:16" x14ac:dyDescent="0.25">
      <c r="A23" s="134" t="s">
        <v>339</v>
      </c>
      <c r="B23" s="29">
        <v>319496.56283999997</v>
      </c>
      <c r="C23" s="29">
        <v>324185.91817999998</v>
      </c>
      <c r="D23" s="292">
        <f t="shared" si="1"/>
        <v>1.4677326411014935E-2</v>
      </c>
      <c r="E23" s="29">
        <v>97751.408450000003</v>
      </c>
      <c r="F23" s="29">
        <v>98532.101550000007</v>
      </c>
      <c r="G23" s="292">
        <f t="shared" si="2"/>
        <v>7.9865151037628035E-3</v>
      </c>
      <c r="H23" s="29">
        <f t="shared" si="0"/>
        <v>417247.97128999996</v>
      </c>
      <c r="I23" s="29">
        <f t="shared" si="0"/>
        <v>422718.01973</v>
      </c>
      <c r="J23" s="292">
        <f t="shared" si="3"/>
        <v>1.3109826329624541E-2</v>
      </c>
      <c r="K23" s="294">
        <v>1310</v>
      </c>
      <c r="L23" s="294">
        <v>1262</v>
      </c>
      <c r="M23" s="292">
        <f t="shared" si="4"/>
        <v>-3.6641221374045796E-2</v>
      </c>
      <c r="N23" s="294">
        <f t="shared" si="5"/>
        <v>26542.491812340966</v>
      </c>
      <c r="O23" s="294">
        <f t="shared" si="6"/>
        <v>27913.234266376123</v>
      </c>
      <c r="P23" s="296">
        <f t="shared" si="7"/>
        <v>5.1643322101274203E-2</v>
      </c>
    </row>
    <row r="24" spans="1:16" x14ac:dyDescent="0.25">
      <c r="A24" s="134" t="s">
        <v>340</v>
      </c>
      <c r="B24" s="29">
        <v>434505.27032999997</v>
      </c>
      <c r="C24" s="29">
        <v>457084.44312999997</v>
      </c>
      <c r="D24" s="292">
        <f t="shared" si="1"/>
        <v>5.1965244939034871E-2</v>
      </c>
      <c r="E24" s="29">
        <v>73904.284180000002</v>
      </c>
      <c r="F24" s="29">
        <v>72055.928260000001</v>
      </c>
      <c r="G24" s="293">
        <f t="shared" si="2"/>
        <v>-2.5010132233987625E-2</v>
      </c>
      <c r="H24" s="29">
        <f t="shared" si="0"/>
        <v>508409.55450999999</v>
      </c>
      <c r="I24" s="29">
        <f t="shared" si="0"/>
        <v>529140.37138999999</v>
      </c>
      <c r="J24" s="292">
        <f t="shared" si="3"/>
        <v>4.0775820784839878E-2</v>
      </c>
      <c r="K24" s="294">
        <v>1698</v>
      </c>
      <c r="L24" s="294">
        <v>1618</v>
      </c>
      <c r="M24" s="292">
        <f t="shared" si="4"/>
        <v>-4.7114252061248529E-2</v>
      </c>
      <c r="N24" s="294">
        <f t="shared" si="5"/>
        <v>24951.391564095014</v>
      </c>
      <c r="O24" s="294">
        <f t="shared" si="6"/>
        <v>27252.800339410795</v>
      </c>
      <c r="P24" s="296">
        <f t="shared" si="7"/>
        <v>9.2235688314374453E-2</v>
      </c>
    </row>
    <row r="25" spans="1:16" x14ac:dyDescent="0.25">
      <c r="A25" s="134" t="s">
        <v>341</v>
      </c>
      <c r="B25" s="29">
        <v>349258.68742999999</v>
      </c>
      <c r="C25" s="29">
        <v>345580.38652</v>
      </c>
      <c r="D25" s="293">
        <f t="shared" si="1"/>
        <v>-1.0531737770265837E-2</v>
      </c>
      <c r="E25" s="29">
        <v>105766.61320000001</v>
      </c>
      <c r="F25" s="29">
        <v>102574.84925999999</v>
      </c>
      <c r="G25" s="293">
        <f t="shared" si="2"/>
        <v>-3.0177424079605664E-2</v>
      </c>
      <c r="H25" s="29">
        <f t="shared" si="0"/>
        <v>455025.30063000001</v>
      </c>
      <c r="I25" s="29">
        <f t="shared" si="0"/>
        <v>448155.23577999999</v>
      </c>
      <c r="J25" s="292">
        <f t="shared" si="3"/>
        <v>-1.5098204078955901E-2</v>
      </c>
      <c r="K25" s="294">
        <v>1575</v>
      </c>
      <c r="L25" s="294">
        <v>1538</v>
      </c>
      <c r="M25" s="292">
        <f t="shared" si="4"/>
        <v>-2.3492063492063453E-2</v>
      </c>
      <c r="N25" s="294">
        <f t="shared" si="5"/>
        <v>24075.41273174603</v>
      </c>
      <c r="O25" s="294">
        <f t="shared" si="6"/>
        <v>24282.359979410488</v>
      </c>
      <c r="P25" s="296">
        <f t="shared" si="7"/>
        <v>8.5957923118624713E-3</v>
      </c>
    </row>
    <row r="26" spans="1:16" x14ac:dyDescent="0.25">
      <c r="A26" s="134" t="s">
        <v>342</v>
      </c>
      <c r="B26" s="29">
        <v>169129.30380000002</v>
      </c>
      <c r="C26" s="29">
        <v>168980.82540999999</v>
      </c>
      <c r="D26" s="293">
        <f t="shared" si="1"/>
        <v>-8.7789866489140778E-4</v>
      </c>
      <c r="E26" s="29">
        <v>44864.728000000003</v>
      </c>
      <c r="F26" s="29">
        <v>39635.925450000002</v>
      </c>
      <c r="G26" s="293">
        <f t="shared" si="2"/>
        <v>-0.11654595454139383</v>
      </c>
      <c r="H26" s="29">
        <f t="shared" si="0"/>
        <v>213994.03180000003</v>
      </c>
      <c r="I26" s="29">
        <f t="shared" si="0"/>
        <v>208616.75086</v>
      </c>
      <c r="J26" s="293">
        <f t="shared" si="3"/>
        <v>-2.5128181822498985E-2</v>
      </c>
      <c r="K26" s="294">
        <v>919</v>
      </c>
      <c r="L26" s="294">
        <v>804</v>
      </c>
      <c r="M26" s="293">
        <f t="shared" si="4"/>
        <v>-0.12513601741022851</v>
      </c>
      <c r="N26" s="294">
        <f t="shared" si="5"/>
        <v>19404.609339862174</v>
      </c>
      <c r="O26" s="294">
        <f t="shared" si="6"/>
        <v>21622.797560116087</v>
      </c>
      <c r="P26" s="297">
        <f t="shared" si="7"/>
        <v>0.1143124389367205</v>
      </c>
    </row>
    <row r="27" spans="1:16" x14ac:dyDescent="0.25">
      <c r="A27" s="134" t="s">
        <v>343</v>
      </c>
      <c r="B27" s="29">
        <v>2947037.0326700001</v>
      </c>
      <c r="C27" s="29">
        <v>3029008.0692199999</v>
      </c>
      <c r="D27" s="292">
        <f t="shared" si="1"/>
        <v>2.7814729045238629E-2</v>
      </c>
      <c r="E27" s="29">
        <v>397282.35920999997</v>
      </c>
      <c r="F27" s="29">
        <v>414961.75238000008</v>
      </c>
      <c r="G27" s="292">
        <f t="shared" si="2"/>
        <v>4.4500826075327904E-2</v>
      </c>
      <c r="H27" s="29">
        <f t="shared" si="0"/>
        <v>3344319.39188</v>
      </c>
      <c r="I27" s="29">
        <f t="shared" si="0"/>
        <v>3443969.8215999999</v>
      </c>
      <c r="J27" s="292">
        <f t="shared" si="3"/>
        <v>2.9796923691544297E-2</v>
      </c>
      <c r="K27" s="294">
        <v>11138</v>
      </c>
      <c r="L27" s="294">
        <v>11205</v>
      </c>
      <c r="M27" s="292">
        <f t="shared" si="4"/>
        <v>6.0154426288381302E-3</v>
      </c>
      <c r="N27" s="294">
        <f t="shared" si="5"/>
        <v>25021.842580056262</v>
      </c>
      <c r="O27" s="294">
        <f t="shared" si="6"/>
        <v>25613.340931131934</v>
      </c>
      <c r="P27" s="296">
        <f t="shared" si="7"/>
        <v>2.3639280328105361E-2</v>
      </c>
    </row>
    <row r="28" spans="1:16" x14ac:dyDescent="0.25">
      <c r="A28" s="134" t="s">
        <v>344</v>
      </c>
      <c r="B28" s="29">
        <v>1946996.4429600001</v>
      </c>
      <c r="C28" s="29">
        <v>2006544.3608599999</v>
      </c>
      <c r="D28" s="292">
        <f t="shared" si="1"/>
        <v>3.0584502665793156E-2</v>
      </c>
      <c r="E28" s="29">
        <v>323501.36403000006</v>
      </c>
      <c r="F28" s="29">
        <v>345868.24286999996</v>
      </c>
      <c r="G28" s="292">
        <f t="shared" si="2"/>
        <v>6.9139983094246515E-2</v>
      </c>
      <c r="H28" s="29">
        <f t="shared" si="0"/>
        <v>2270497.8069900004</v>
      </c>
      <c r="I28" s="29">
        <f t="shared" si="0"/>
        <v>2352412.6037299996</v>
      </c>
      <c r="J28" s="292">
        <f t="shared" si="3"/>
        <v>3.6077901721734529E-2</v>
      </c>
      <c r="K28" s="294">
        <v>5134</v>
      </c>
      <c r="L28" s="294">
        <v>5799</v>
      </c>
      <c r="M28" s="293">
        <f t="shared" si="4"/>
        <v>0.12952863264511105</v>
      </c>
      <c r="N28" s="294">
        <f t="shared" si="5"/>
        <v>36853.944406408271</v>
      </c>
      <c r="O28" s="294">
        <f t="shared" si="6"/>
        <v>33804.860086940273</v>
      </c>
      <c r="P28" s="297">
        <f t="shared" si="7"/>
        <v>-8.2734273592104723E-2</v>
      </c>
    </row>
    <row r="29" spans="1:16" x14ac:dyDescent="0.25">
      <c r="A29" s="134" t="s">
        <v>345</v>
      </c>
      <c r="B29" s="29">
        <v>713415.53558999998</v>
      </c>
      <c r="C29" s="29">
        <v>751801.32104999991</v>
      </c>
      <c r="D29" s="292">
        <f t="shared" si="1"/>
        <v>5.380564838450641E-2</v>
      </c>
      <c r="E29" s="29">
        <v>102022.58682000001</v>
      </c>
      <c r="F29" s="29">
        <v>101364.31280000001</v>
      </c>
      <c r="G29" s="293">
        <f t="shared" si="2"/>
        <v>-6.4522380829393766E-3</v>
      </c>
      <c r="H29" s="29">
        <f t="shared" si="0"/>
        <v>815438.12240999995</v>
      </c>
      <c r="I29" s="29">
        <f t="shared" si="0"/>
        <v>853165.63384999987</v>
      </c>
      <c r="J29" s="293">
        <f t="shared" si="3"/>
        <v>4.6266553406281163E-2</v>
      </c>
      <c r="K29" s="294">
        <v>2463</v>
      </c>
      <c r="L29" s="294">
        <v>2816</v>
      </c>
      <c r="M29" s="293">
        <f t="shared" si="4"/>
        <v>0.14332115306536752</v>
      </c>
      <c r="N29" s="294">
        <f t="shared" si="5"/>
        <v>27589.596779334144</v>
      </c>
      <c r="O29" s="294">
        <f t="shared" si="6"/>
        <v>25247.562554746684</v>
      </c>
      <c r="P29" s="297">
        <f t="shared" si="7"/>
        <v>-8.4888309289889663E-2</v>
      </c>
    </row>
    <row r="30" spans="1:16" x14ac:dyDescent="0.25">
      <c r="A30" s="134" t="s">
        <v>346</v>
      </c>
      <c r="B30" s="29">
        <v>384932.43947000004</v>
      </c>
      <c r="C30" s="29">
        <v>390475.57220999995</v>
      </c>
      <c r="D30" s="292">
        <f t="shared" si="1"/>
        <v>1.4400274364072985E-2</v>
      </c>
      <c r="E30" s="29">
        <v>53205.12401</v>
      </c>
      <c r="F30" s="29">
        <v>54241.547210000004</v>
      </c>
      <c r="G30" s="292">
        <f t="shared" si="2"/>
        <v>1.9479762885341811E-2</v>
      </c>
      <c r="H30" s="29">
        <f t="shared" si="0"/>
        <v>438137.56348000001</v>
      </c>
      <c r="I30" s="29">
        <f t="shared" si="0"/>
        <v>444717.11941999994</v>
      </c>
      <c r="J30" s="292">
        <f t="shared" si="3"/>
        <v>1.5017100765660096E-2</v>
      </c>
      <c r="K30" s="294">
        <v>1411</v>
      </c>
      <c r="L30" s="294">
        <v>1364</v>
      </c>
      <c r="M30" s="292">
        <f t="shared" si="4"/>
        <v>-3.3309709425939027E-2</v>
      </c>
      <c r="N30" s="294">
        <f t="shared" si="5"/>
        <v>25876.303064020787</v>
      </c>
      <c r="O30" s="294">
        <f t="shared" si="6"/>
        <v>27169.911988025415</v>
      </c>
      <c r="P30" s="296">
        <f t="shared" si="7"/>
        <v>4.9992030190869841E-2</v>
      </c>
    </row>
    <row r="31" spans="1:16" x14ac:dyDescent="0.25">
      <c r="A31" s="134" t="s">
        <v>347</v>
      </c>
      <c r="B31" s="29">
        <v>420038.69317000004</v>
      </c>
      <c r="C31" s="29">
        <v>439397.26131000003</v>
      </c>
      <c r="D31" s="292">
        <f t="shared" si="1"/>
        <v>4.6087583012656141E-2</v>
      </c>
      <c r="E31" s="29">
        <v>56654.333879999998</v>
      </c>
      <c r="F31" s="29">
        <v>56629.767120000004</v>
      </c>
      <c r="G31" s="292">
        <f t="shared" si="2"/>
        <v>-4.3362543194014336E-4</v>
      </c>
      <c r="H31" s="29">
        <f t="shared" si="0"/>
        <v>476693.02705000003</v>
      </c>
      <c r="I31" s="29">
        <f t="shared" si="0"/>
        <v>496027.02843000006</v>
      </c>
      <c r="J31" s="292">
        <f t="shared" si="3"/>
        <v>4.0558599104433934E-2</v>
      </c>
      <c r="K31" s="294">
        <v>1855</v>
      </c>
      <c r="L31" s="294">
        <v>1886</v>
      </c>
      <c r="M31" s="292">
        <f t="shared" si="4"/>
        <v>1.6711590296496048E-2</v>
      </c>
      <c r="N31" s="294">
        <f t="shared" si="5"/>
        <v>21414.781089398024</v>
      </c>
      <c r="O31" s="294">
        <f t="shared" si="6"/>
        <v>21917.065589872749</v>
      </c>
      <c r="P31" s="296">
        <f t="shared" si="7"/>
        <v>2.3455037825410807E-2</v>
      </c>
    </row>
    <row r="32" spans="1:16" x14ac:dyDescent="0.25">
      <c r="A32" s="134" t="s">
        <v>348</v>
      </c>
      <c r="B32" s="29">
        <v>46138.69902</v>
      </c>
      <c r="C32" s="29">
        <v>47927.749109999997</v>
      </c>
      <c r="D32" s="292">
        <f t="shared" si="1"/>
        <v>3.8775477592562613E-2</v>
      </c>
      <c r="E32" s="29">
        <v>377479.51094000001</v>
      </c>
      <c r="F32" s="29">
        <v>386815.39728999999</v>
      </c>
      <c r="G32" s="292">
        <f t="shared" si="2"/>
        <v>2.4732167122797577E-2</v>
      </c>
      <c r="H32" s="29">
        <f t="shared" si="0"/>
        <v>423618.20996000001</v>
      </c>
      <c r="I32" s="29">
        <f t="shared" si="0"/>
        <v>434743.14639999997</v>
      </c>
      <c r="J32" s="292">
        <f t="shared" si="3"/>
        <v>2.6261704946655584E-2</v>
      </c>
      <c r="K32" s="294">
        <v>1628</v>
      </c>
      <c r="L32" s="294">
        <v>1599</v>
      </c>
      <c r="M32" s="292">
        <f t="shared" si="4"/>
        <v>-1.7813267813267863E-2</v>
      </c>
      <c r="N32" s="294">
        <f t="shared" si="5"/>
        <v>21683.978806306302</v>
      </c>
      <c r="O32" s="294">
        <f t="shared" si="6"/>
        <v>22657.032853866996</v>
      </c>
      <c r="P32" s="296">
        <f t="shared" si="7"/>
        <v>4.4874331240247534E-2</v>
      </c>
    </row>
    <row r="33" spans="1:16" x14ac:dyDescent="0.25">
      <c r="A33" s="134" t="s">
        <v>349</v>
      </c>
      <c r="B33" s="29">
        <v>23888.613890000001</v>
      </c>
      <c r="C33" s="29">
        <v>26711.17036</v>
      </c>
      <c r="D33" s="293">
        <f t="shared" si="1"/>
        <v>0.11815488680075936</v>
      </c>
      <c r="E33" s="29">
        <v>25239.683280000001</v>
      </c>
      <c r="F33" s="29">
        <v>24267.290249999998</v>
      </c>
      <c r="G33" s="293">
        <f t="shared" si="2"/>
        <v>-3.8526356262581496E-2</v>
      </c>
      <c r="H33" s="29">
        <f t="shared" si="0"/>
        <v>49128.297170000005</v>
      </c>
      <c r="I33" s="29">
        <f t="shared" si="0"/>
        <v>50978.460609999995</v>
      </c>
      <c r="J33" s="292">
        <f t="shared" si="3"/>
        <v>3.7659832450488206E-2</v>
      </c>
      <c r="K33" s="294">
        <v>54</v>
      </c>
      <c r="L33" s="294">
        <v>67</v>
      </c>
      <c r="M33" s="293">
        <f t="shared" si="4"/>
        <v>0.2407407407407407</v>
      </c>
      <c r="N33" s="294">
        <f t="shared" si="5"/>
        <v>75815.273410493843</v>
      </c>
      <c r="O33" s="294">
        <f t="shared" si="6"/>
        <v>63406.045534825862</v>
      </c>
      <c r="P33" s="297">
        <f t="shared" si="7"/>
        <v>-0.16367714996527838</v>
      </c>
    </row>
    <row r="34" spans="1:16" s="321" customFormat="1" x14ac:dyDescent="0.25">
      <c r="A34" s="298" t="s">
        <v>350</v>
      </c>
      <c r="B34" s="299">
        <f>SUM(B8:B33)</f>
        <v>12065125.47452</v>
      </c>
      <c r="C34" s="299">
        <f t="shared" ref="C34" si="8">SUM(C8:C33)</f>
        <v>12330774.017700002</v>
      </c>
      <c r="D34" s="300">
        <f t="shared" si="1"/>
        <v>2.2017884831866619E-2</v>
      </c>
      <c r="E34" s="299">
        <f t="shared" ref="E34:F34" si="9">SUM(E8:E33)</f>
        <v>2614236.08654</v>
      </c>
      <c r="F34" s="299">
        <f t="shared" si="9"/>
        <v>2661231.9783600005</v>
      </c>
      <c r="G34" s="300">
        <f t="shared" si="2"/>
        <v>1.7976911902474857E-2</v>
      </c>
      <c r="H34" s="299">
        <f t="shared" ref="H34:L34" si="10">SUM(H8:H33)</f>
        <v>14679361.56106</v>
      </c>
      <c r="I34" s="299">
        <f t="shared" si="10"/>
        <v>14992005.996060001</v>
      </c>
      <c r="J34" s="300">
        <f t="shared" si="3"/>
        <v>2.1298231104910803E-2</v>
      </c>
      <c r="K34" s="301">
        <f t="shared" si="10"/>
        <v>47901.65</v>
      </c>
      <c r="L34" s="301">
        <f t="shared" si="10"/>
        <v>47943.5</v>
      </c>
      <c r="M34" s="300">
        <f t="shared" si="4"/>
        <v>8.7366510339403902E-4</v>
      </c>
      <c r="N34" s="301">
        <f t="shared" si="5"/>
        <v>25537.32763043305</v>
      </c>
      <c r="O34" s="301">
        <f t="shared" si="6"/>
        <v>26058.461167937265</v>
      </c>
      <c r="P34" s="302">
        <f t="shared" si="7"/>
        <v>2.0406737347222537E-2</v>
      </c>
    </row>
    <row r="35" spans="1:16" x14ac:dyDescent="0.25">
      <c r="A35" s="134" t="s">
        <v>404</v>
      </c>
      <c r="B35" s="29">
        <v>14254092.855010001</v>
      </c>
      <c r="C35" s="29">
        <v>14500207.392729999</v>
      </c>
      <c r="D35" s="292">
        <f t="shared" si="1"/>
        <v>1.7266236457376127E-2</v>
      </c>
      <c r="E35" s="29">
        <v>2549214.0621500001</v>
      </c>
      <c r="F35" s="29">
        <v>2642842.97432</v>
      </c>
      <c r="G35" s="292">
        <f t="shared" si="2"/>
        <v>3.6728540596168591E-2</v>
      </c>
      <c r="H35" s="29">
        <f>B35+E35</f>
        <v>16803306.917160001</v>
      </c>
      <c r="I35" s="29">
        <f>C35+F35</f>
        <v>17143050.36705</v>
      </c>
      <c r="J35" s="292">
        <f t="shared" si="3"/>
        <v>2.0218844514649836E-2</v>
      </c>
      <c r="K35" s="294">
        <v>59175.5</v>
      </c>
      <c r="L35" s="294">
        <v>60030</v>
      </c>
      <c r="M35" s="292">
        <f t="shared" si="4"/>
        <v>1.4440097675558317E-2</v>
      </c>
      <c r="N35" s="294">
        <f t="shared" si="5"/>
        <v>23663.096660442247</v>
      </c>
      <c r="O35" s="294">
        <f t="shared" si="6"/>
        <v>23797.893229843412</v>
      </c>
      <c r="P35" s="296">
        <f t="shared" si="7"/>
        <v>5.6964889817867626E-3</v>
      </c>
    </row>
    <row r="36" spans="1:16" s="321" customFormat="1" ht="13.8" thickBot="1" x14ac:dyDescent="0.3">
      <c r="A36" s="303" t="s">
        <v>405</v>
      </c>
      <c r="B36" s="304">
        <f>B34+B35</f>
        <v>26319218.329530001</v>
      </c>
      <c r="C36" s="304">
        <f t="shared" ref="C36" si="11">C34+C35</f>
        <v>26830981.410429999</v>
      </c>
      <c r="D36" s="305">
        <f t="shared" si="1"/>
        <v>1.9444463528227374E-2</v>
      </c>
      <c r="E36" s="304">
        <f t="shared" ref="E36:L36" si="12">E34+E35</f>
        <v>5163450.1486900002</v>
      </c>
      <c r="F36" s="304">
        <f t="shared" si="12"/>
        <v>5304074.952680001</v>
      </c>
      <c r="G36" s="305">
        <f t="shared" si="2"/>
        <v>2.7234658985848537E-2</v>
      </c>
      <c r="H36" s="304">
        <f t="shared" si="12"/>
        <v>31482668.478220001</v>
      </c>
      <c r="I36" s="304">
        <f t="shared" si="12"/>
        <v>32135056.363109998</v>
      </c>
      <c r="J36" s="305">
        <f t="shared" si="3"/>
        <v>2.0722127965147719E-2</v>
      </c>
      <c r="K36" s="306">
        <f t="shared" si="12"/>
        <v>107077.15</v>
      </c>
      <c r="L36" s="306">
        <f t="shared" si="12"/>
        <v>107973.5</v>
      </c>
      <c r="M36" s="305">
        <f t="shared" si="4"/>
        <v>8.3710670297072465E-3</v>
      </c>
      <c r="N36" s="306">
        <f t="shared" si="5"/>
        <v>24501.545908892171</v>
      </c>
      <c r="O36" s="306">
        <f t="shared" si="6"/>
        <v>24801.653772383961</v>
      </c>
      <c r="P36" s="307">
        <f t="shared" si="7"/>
        <v>1.2248527689139532E-2</v>
      </c>
    </row>
    <row r="37" spans="1:16" ht="13.8" thickTop="1" x14ac:dyDescent="0.25"/>
  </sheetData>
  <sheetProtection sheet="1" objects="1" scenarios="1"/>
  <autoFilter ref="A7:P36"/>
  <mergeCells count="12">
    <mergeCell ref="P5:P6"/>
    <mergeCell ref="A3:P3"/>
    <mergeCell ref="A5:A6"/>
    <mergeCell ref="B5:C5"/>
    <mergeCell ref="D5:D6"/>
    <mergeCell ref="E5:F5"/>
    <mergeCell ref="G5:G6"/>
    <mergeCell ref="H5:I5"/>
    <mergeCell ref="K5:L5"/>
    <mergeCell ref="M5:M6"/>
    <mergeCell ref="N5:O5"/>
    <mergeCell ref="J5:J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25" zoomScale="115" zoomScaleNormal="115" workbookViewId="0">
      <selection activeCell="I5" sqref="I5"/>
    </sheetView>
  </sheetViews>
  <sheetFormatPr defaultRowHeight="13.8" x14ac:dyDescent="0.25"/>
  <cols>
    <col min="1" max="1" width="21.59765625" customWidth="1"/>
    <col min="2" max="3" width="10.8984375" bestFit="1" customWidth="1"/>
    <col min="4" max="5" width="9.69921875" bestFit="1" customWidth="1"/>
    <col min="6" max="6" width="11.8984375" bestFit="1" customWidth="1"/>
  </cols>
  <sheetData>
    <row r="1" spans="1:7" x14ac:dyDescent="0.25">
      <c r="G1" s="287" t="s">
        <v>495</v>
      </c>
    </row>
    <row r="3" spans="1:7" ht="27" customHeight="1" x14ac:dyDescent="0.25">
      <c r="A3" s="426" t="s">
        <v>451</v>
      </c>
      <c r="B3" s="426"/>
      <c r="C3" s="426"/>
      <c r="D3" s="426"/>
      <c r="E3" s="426"/>
      <c r="F3" s="426"/>
      <c r="G3" s="426"/>
    </row>
    <row r="4" spans="1:7" ht="14.4" thickBot="1" x14ac:dyDescent="0.3"/>
    <row r="5" spans="1:7" ht="83.4" thickTop="1" x14ac:dyDescent="0.25">
      <c r="A5" s="384" t="s">
        <v>457</v>
      </c>
      <c r="B5" s="385" t="s">
        <v>459</v>
      </c>
      <c r="C5" s="385" t="s">
        <v>460</v>
      </c>
      <c r="D5" s="385" t="s">
        <v>461</v>
      </c>
      <c r="E5" s="385" t="s">
        <v>462</v>
      </c>
      <c r="F5" s="385" t="s">
        <v>463</v>
      </c>
      <c r="G5" s="386" t="s">
        <v>458</v>
      </c>
    </row>
    <row r="6" spans="1:7" x14ac:dyDescent="0.25">
      <c r="A6" s="365" t="s">
        <v>324</v>
      </c>
      <c r="B6" s="366">
        <v>329468.00694999995</v>
      </c>
      <c r="C6" s="366">
        <v>238215.62649</v>
      </c>
      <c r="D6" s="367">
        <v>6389.3727712595746</v>
      </c>
      <c r="E6" s="367">
        <v>4619.7154366333798</v>
      </c>
      <c r="F6" s="366">
        <v>1548562.20172</v>
      </c>
      <c r="G6" s="368">
        <v>15.3830195664993</v>
      </c>
    </row>
    <row r="7" spans="1:7" x14ac:dyDescent="0.25">
      <c r="A7" s="365" t="s">
        <v>452</v>
      </c>
      <c r="B7" s="366">
        <v>131567.02006000001</v>
      </c>
      <c r="C7" s="366">
        <v>65742.924450000006</v>
      </c>
      <c r="D7" s="367">
        <v>9085.4927187348949</v>
      </c>
      <c r="E7" s="367">
        <v>4539.9436813755956</v>
      </c>
      <c r="F7" s="366">
        <v>656686.7774100001</v>
      </c>
      <c r="G7" s="368">
        <v>10.01130625917166</v>
      </c>
    </row>
    <row r="8" spans="1:7" x14ac:dyDescent="0.25">
      <c r="A8" s="365" t="s">
        <v>453</v>
      </c>
      <c r="B8" s="366">
        <v>4270.8419999999996</v>
      </c>
      <c r="C8" s="366">
        <v>2502.1480000000001</v>
      </c>
      <c r="D8" s="367">
        <v>422.1868327402135</v>
      </c>
      <c r="E8" s="367">
        <v>247.34559114274415</v>
      </c>
      <c r="F8" s="366">
        <v>422628.13112999999</v>
      </c>
      <c r="G8" s="368">
        <v>0.59204482988623919</v>
      </c>
    </row>
    <row r="9" spans="1:7" x14ac:dyDescent="0.25">
      <c r="A9" s="365" t="s">
        <v>327</v>
      </c>
      <c r="B9" s="366">
        <v>214247.421</v>
      </c>
      <c r="C9" s="366">
        <v>168621.421</v>
      </c>
      <c r="D9" s="367">
        <v>14275.547774520255</v>
      </c>
      <c r="E9" s="367">
        <v>11235.435834221749</v>
      </c>
      <c r="F9" s="366">
        <v>670428.21125000005</v>
      </c>
      <c r="G9" s="368">
        <v>25.151301536910076</v>
      </c>
    </row>
    <row r="10" spans="1:7" x14ac:dyDescent="0.25">
      <c r="A10" s="365" t="s">
        <v>328</v>
      </c>
      <c r="B10" s="366">
        <v>224422.13263999997</v>
      </c>
      <c r="C10" s="366">
        <v>192470.48292000001</v>
      </c>
      <c r="D10" s="367">
        <v>12744.016617830777</v>
      </c>
      <c r="E10" s="367">
        <v>10929.612885860308</v>
      </c>
      <c r="F10" s="366">
        <v>711871.19139000005</v>
      </c>
      <c r="G10" s="368">
        <v>27.037262533996081</v>
      </c>
    </row>
    <row r="11" spans="1:7" x14ac:dyDescent="0.25">
      <c r="A11" s="365" t="s">
        <v>329</v>
      </c>
      <c r="B11" s="366">
        <v>981966.00653000001</v>
      </c>
      <c r="C11" s="366">
        <v>470212.45788</v>
      </c>
      <c r="D11" s="367">
        <v>42439.536975105882</v>
      </c>
      <c r="E11" s="381">
        <v>20322.087383524937</v>
      </c>
      <c r="F11" s="366">
        <v>1101969.5377400003</v>
      </c>
      <c r="G11" s="368">
        <v>42.670186586495497</v>
      </c>
    </row>
    <row r="12" spans="1:7" x14ac:dyDescent="0.25">
      <c r="A12" s="365" t="s">
        <v>454</v>
      </c>
      <c r="B12" s="366">
        <v>122109.32610999999</v>
      </c>
      <c r="C12" s="366">
        <v>111107.98651</v>
      </c>
      <c r="D12" s="367">
        <v>6150.05419843868</v>
      </c>
      <c r="E12" s="367">
        <v>5595.9701087887188</v>
      </c>
      <c r="F12" s="366">
        <v>705525.74342999991</v>
      </c>
      <c r="G12" s="368">
        <v>15.748254056589758</v>
      </c>
    </row>
    <row r="13" spans="1:7" x14ac:dyDescent="0.25">
      <c r="A13" s="365" t="s">
        <v>331</v>
      </c>
      <c r="B13" s="366">
        <v>42966.480530000001</v>
      </c>
      <c r="C13" s="366">
        <v>32745.2022</v>
      </c>
      <c r="D13" s="367">
        <v>3411.9336559993649</v>
      </c>
      <c r="E13" s="367">
        <v>2600.2701659652189</v>
      </c>
      <c r="F13" s="366">
        <v>512858.41408999998</v>
      </c>
      <c r="G13" s="368">
        <v>6.3848425414062993</v>
      </c>
    </row>
    <row r="14" spans="1:7" x14ac:dyDescent="0.25">
      <c r="A14" s="365" t="s">
        <v>332</v>
      </c>
      <c r="B14" s="366">
        <v>528247.05548999994</v>
      </c>
      <c r="C14" s="366">
        <v>394230.63337999996</v>
      </c>
      <c r="D14" s="367">
        <v>44186.286531994985</v>
      </c>
      <c r="E14" s="381">
        <v>32976.21358260142</v>
      </c>
      <c r="F14" s="366">
        <v>891556.43408000004</v>
      </c>
      <c r="G14" s="382">
        <v>44.218247809159479</v>
      </c>
    </row>
    <row r="15" spans="1:7" x14ac:dyDescent="0.25">
      <c r="A15" s="365" t="s">
        <v>333</v>
      </c>
      <c r="B15" s="366">
        <v>20098.57935</v>
      </c>
      <c r="C15" s="366">
        <v>19895.744500000001</v>
      </c>
      <c r="D15" s="367">
        <v>2925.131618396158</v>
      </c>
      <c r="E15" s="367">
        <v>2895.6111919662349</v>
      </c>
      <c r="F15" s="366">
        <v>370611.38738000003</v>
      </c>
      <c r="G15" s="368">
        <v>5.3683575781766901</v>
      </c>
    </row>
    <row r="16" spans="1:7" x14ac:dyDescent="0.25">
      <c r="A16" s="365" t="s">
        <v>334</v>
      </c>
      <c r="B16" s="366">
        <v>4822.0781299999999</v>
      </c>
      <c r="C16" s="366">
        <v>4626.8768200000004</v>
      </c>
      <c r="D16" s="367">
        <v>508.55074140476694</v>
      </c>
      <c r="E16" s="367">
        <v>487.96422906559803</v>
      </c>
      <c r="F16" s="366">
        <v>515825.03370000009</v>
      </c>
      <c r="G16" s="368">
        <v>0.89698570594985061</v>
      </c>
    </row>
    <row r="17" spans="1:7" x14ac:dyDescent="0.25">
      <c r="A17" s="365" t="s">
        <v>335</v>
      </c>
      <c r="B17" s="366">
        <v>106886.61293999999</v>
      </c>
      <c r="C17" s="366">
        <v>45325.755250000002</v>
      </c>
      <c r="D17" s="367">
        <v>3861.7896141339693</v>
      </c>
      <c r="E17" s="367">
        <v>1637.6094822602788</v>
      </c>
      <c r="F17" s="366">
        <v>743624.58421</v>
      </c>
      <c r="G17" s="368">
        <v>6.095247012059513</v>
      </c>
    </row>
    <row r="18" spans="1:7" x14ac:dyDescent="0.25">
      <c r="A18" s="365" t="s">
        <v>336</v>
      </c>
      <c r="B18" s="366">
        <v>419826.13588999992</v>
      </c>
      <c r="C18" s="366">
        <v>206389.91919000002</v>
      </c>
      <c r="D18" s="367">
        <v>13008.99032876797</v>
      </c>
      <c r="E18" s="367">
        <v>6395.3247146132881</v>
      </c>
      <c r="F18" s="366">
        <v>943632.39575999998</v>
      </c>
      <c r="G18" s="368">
        <v>21.871856044511265</v>
      </c>
    </row>
    <row r="19" spans="1:7" x14ac:dyDescent="0.25">
      <c r="A19" s="365" t="s">
        <v>337</v>
      </c>
      <c r="B19" s="366">
        <v>14269.642800000001</v>
      </c>
      <c r="C19" s="366">
        <v>14043.84102</v>
      </c>
      <c r="D19" s="367">
        <v>599.59001638724317</v>
      </c>
      <c r="E19" s="367">
        <v>590.10214798941126</v>
      </c>
      <c r="F19" s="366">
        <v>1069823.2079899998</v>
      </c>
      <c r="G19" s="368">
        <v>1.3127254031426168</v>
      </c>
    </row>
    <row r="20" spans="1:7" x14ac:dyDescent="0.25">
      <c r="A20" s="365" t="s">
        <v>338</v>
      </c>
      <c r="B20" s="366">
        <v>76579.879140000005</v>
      </c>
      <c r="C20" s="366">
        <v>72391.081220000007</v>
      </c>
      <c r="D20" s="367">
        <v>1775.9300373367964</v>
      </c>
      <c r="E20" s="367">
        <v>1678.7894812272443</v>
      </c>
      <c r="F20" s="366">
        <v>1191714.1958300001</v>
      </c>
      <c r="G20" s="368">
        <v>6.0745337660076597</v>
      </c>
    </row>
    <row r="21" spans="1:7" x14ac:dyDescent="0.25">
      <c r="A21" s="365" t="s">
        <v>339</v>
      </c>
      <c r="B21" s="366">
        <v>659517.69394999999</v>
      </c>
      <c r="C21" s="366">
        <v>472378.53966000001</v>
      </c>
      <c r="D21" s="367">
        <v>25412.981425323673</v>
      </c>
      <c r="E21" s="367">
        <v>18202.009080610358</v>
      </c>
      <c r="F21" s="366">
        <v>1368134.5478699999</v>
      </c>
      <c r="G21" s="382">
        <v>34.527199126389242</v>
      </c>
    </row>
    <row r="22" spans="1:7" x14ac:dyDescent="0.25">
      <c r="A22" s="365" t="s">
        <v>340</v>
      </c>
      <c r="B22" s="366">
        <v>135203.36152000001</v>
      </c>
      <c r="C22" s="366">
        <v>108683.56713000001</v>
      </c>
      <c r="D22" s="367">
        <v>4863.9551577508364</v>
      </c>
      <c r="E22" s="367">
        <v>3909.902763967335</v>
      </c>
      <c r="F22" s="366">
        <v>1112514.0074799997</v>
      </c>
      <c r="G22" s="368">
        <v>9.7691864011837062</v>
      </c>
    </row>
    <row r="23" spans="1:7" x14ac:dyDescent="0.25">
      <c r="A23" s="365" t="s">
        <v>341</v>
      </c>
      <c r="B23" s="366">
        <v>316392.12344</v>
      </c>
      <c r="C23" s="366">
        <v>189579.59386999998</v>
      </c>
      <c r="D23" s="367">
        <v>14288.5843580364</v>
      </c>
      <c r="E23" s="367">
        <v>8561.6038418461812</v>
      </c>
      <c r="F23" s="366">
        <v>1092474.65976</v>
      </c>
      <c r="G23" s="368">
        <v>17.353225740874183</v>
      </c>
    </row>
    <row r="24" spans="1:7" x14ac:dyDescent="0.25">
      <c r="A24" s="365" t="s">
        <v>455</v>
      </c>
      <c r="B24" s="366">
        <v>11428.881000000001</v>
      </c>
      <c r="C24" s="366">
        <v>9560.2243000000017</v>
      </c>
      <c r="D24" s="367">
        <v>844.7066518847007</v>
      </c>
      <c r="E24" s="367">
        <v>706.59455284552848</v>
      </c>
      <c r="F24" s="366">
        <v>405060.78491999995</v>
      </c>
      <c r="G24" s="368">
        <v>2.3601949771287187</v>
      </c>
    </row>
    <row r="25" spans="1:7" x14ac:dyDescent="0.25">
      <c r="A25" s="365" t="s">
        <v>343</v>
      </c>
      <c r="B25" s="366">
        <v>129052.41118000001</v>
      </c>
      <c r="C25" s="366">
        <v>116918.73057</v>
      </c>
      <c r="D25" s="367">
        <v>360.42722935646583</v>
      </c>
      <c r="E25" s="367">
        <v>326.53937833399431</v>
      </c>
      <c r="F25" s="366">
        <v>7909412.0301999999</v>
      </c>
      <c r="G25" s="368">
        <v>1.4782227822191678</v>
      </c>
    </row>
    <row r="26" spans="1:7" x14ac:dyDescent="0.25">
      <c r="A26" s="365" t="s">
        <v>344</v>
      </c>
      <c r="B26" s="366">
        <v>1081504.4889</v>
      </c>
      <c r="C26" s="366">
        <v>737390.6807899999</v>
      </c>
      <c r="D26" s="367">
        <v>5774.8922126048583</v>
      </c>
      <c r="E26" s="367">
        <v>3937.4332181207515</v>
      </c>
      <c r="F26" s="366">
        <v>5795395.9313500002</v>
      </c>
      <c r="G26" s="368">
        <v>12.723732589193945</v>
      </c>
    </row>
    <row r="27" spans="1:7" x14ac:dyDescent="0.25">
      <c r="A27" s="365" t="s">
        <v>345</v>
      </c>
      <c r="B27" s="366">
        <v>198271.61736</v>
      </c>
      <c r="C27" s="366">
        <v>195992.84177</v>
      </c>
      <c r="D27" s="367">
        <v>2681.6291891745673</v>
      </c>
      <c r="E27" s="367">
        <v>2650.8086853672721</v>
      </c>
      <c r="F27" s="366">
        <v>1787773.04721</v>
      </c>
      <c r="G27" s="368">
        <v>10.962959872108295</v>
      </c>
    </row>
    <row r="28" spans="1:7" x14ac:dyDescent="0.25">
      <c r="A28" s="365" t="s">
        <v>456</v>
      </c>
      <c r="B28" s="366">
        <v>258445.03186999998</v>
      </c>
      <c r="C28" s="366">
        <v>255402.26696000001</v>
      </c>
      <c r="D28" s="367">
        <v>6589.2874374075773</v>
      </c>
      <c r="E28" s="367">
        <v>6511.7094222630158</v>
      </c>
      <c r="F28" s="366">
        <v>1040255.3542200001</v>
      </c>
      <c r="G28" s="368">
        <v>24.551881989735556</v>
      </c>
    </row>
    <row r="29" spans="1:7" x14ac:dyDescent="0.25">
      <c r="A29" s="365" t="s">
        <v>347</v>
      </c>
      <c r="B29" s="366">
        <v>9765.5752200000006</v>
      </c>
      <c r="C29" s="366">
        <v>9324.9691800000001</v>
      </c>
      <c r="D29" s="367">
        <v>259.81257402825446</v>
      </c>
      <c r="E29" s="367">
        <v>248.0902753611621</v>
      </c>
      <c r="F29" s="366">
        <v>868324.32437000005</v>
      </c>
      <c r="G29" s="368">
        <v>1.073903945598391</v>
      </c>
    </row>
    <row r="30" spans="1:7" x14ac:dyDescent="0.25">
      <c r="A30" s="365" t="s">
        <v>348</v>
      </c>
      <c r="B30" s="366">
        <v>252689.55804</v>
      </c>
      <c r="C30" s="366">
        <v>205434.13343000002</v>
      </c>
      <c r="D30" s="367">
        <v>7880.2955791180693</v>
      </c>
      <c r="E30" s="367">
        <v>6406.6030508950289</v>
      </c>
      <c r="F30" s="366">
        <v>1144654.58614</v>
      </c>
      <c r="G30" s="368">
        <v>17.947259891105162</v>
      </c>
    </row>
    <row r="31" spans="1:7" x14ac:dyDescent="0.25">
      <c r="A31" s="365" t="s">
        <v>349</v>
      </c>
      <c r="B31" s="366">
        <v>0</v>
      </c>
      <c r="C31" s="366">
        <v>0</v>
      </c>
      <c r="D31" s="367">
        <v>0</v>
      </c>
      <c r="E31" s="367">
        <v>0</v>
      </c>
      <c r="F31" s="366">
        <v>96294.27162</v>
      </c>
      <c r="G31" s="368">
        <v>0</v>
      </c>
    </row>
    <row r="32" spans="1:7" ht="14.4" thickBot="1" x14ac:dyDescent="0.3">
      <c r="A32" s="369" t="s">
        <v>222</v>
      </c>
      <c r="B32" s="370">
        <v>6274017.9620399987</v>
      </c>
      <c r="C32" s="370">
        <v>4339187.6484899996</v>
      </c>
      <c r="D32" s="371">
        <v>5503.7659213474253</v>
      </c>
      <c r="E32" s="371">
        <v>3806.4719053379499</v>
      </c>
      <c r="F32" s="370">
        <v>34677610.992249995</v>
      </c>
      <c r="G32" s="372">
        <v>12.512937092061366</v>
      </c>
    </row>
    <row r="33" ht="14.4" thickTop="1" x14ac:dyDescent="0.25"/>
  </sheetData>
  <sheetProtection sheet="1" objects="1" scenarios="1"/>
  <mergeCells count="1">
    <mergeCell ref="A3:G3"/>
  </mergeCells>
  <pageMargins left="0.98425196850393704" right="0.39370078740157483" top="0.59055118110236227" bottom="0.59055118110236227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opLeftCell="A37" workbookViewId="0">
      <selection activeCell="I7" sqref="I7"/>
    </sheetView>
  </sheetViews>
  <sheetFormatPr defaultColWidth="8.19921875" defaultRowHeight="13.2" x14ac:dyDescent="0.25"/>
  <cols>
    <col min="1" max="1" width="40.5" style="205" customWidth="1"/>
    <col min="2" max="2" width="4.5" style="205" customWidth="1"/>
    <col min="3" max="3" width="11.3984375" style="206" bestFit="1" customWidth="1"/>
    <col min="4" max="4" width="10.8984375" style="206" customWidth="1"/>
    <col min="5" max="5" width="11.09765625" style="206" customWidth="1"/>
    <col min="6" max="6" width="10.8984375" style="206" customWidth="1"/>
    <col min="7" max="7" width="15.3984375" style="206" hidden="1" customWidth="1"/>
    <col min="8" max="8" width="11" style="206" bestFit="1" customWidth="1"/>
    <col min="9" max="9" width="6.59765625" style="206" customWidth="1"/>
    <col min="10" max="10" width="5.69921875" style="206" customWidth="1"/>
    <col min="11" max="16384" width="8.19921875" style="206"/>
  </cols>
  <sheetData>
    <row r="1" spans="1:26" x14ac:dyDescent="0.25">
      <c r="J1" s="207" t="s">
        <v>496</v>
      </c>
    </row>
    <row r="2" spans="1:26" ht="38.25" customHeight="1" x14ac:dyDescent="0.25">
      <c r="A2" s="413" t="s">
        <v>174</v>
      </c>
      <c r="B2" s="413"/>
      <c r="C2" s="413"/>
      <c r="D2" s="413"/>
      <c r="E2" s="413"/>
      <c r="F2" s="413"/>
      <c r="G2" s="413"/>
      <c r="H2" s="413"/>
      <c r="I2" s="413"/>
      <c r="J2" s="413"/>
    </row>
    <row r="3" spans="1:26" s="205" customFormat="1" ht="13.8" thickBot="1" x14ac:dyDescent="0.3">
      <c r="J3" s="208" t="s">
        <v>175</v>
      </c>
    </row>
    <row r="4" spans="1:26" s="205" customFormat="1" ht="33" customHeight="1" thickTop="1" x14ac:dyDescent="0.25">
      <c r="A4" s="422" t="s">
        <v>176</v>
      </c>
      <c r="B4" s="424" t="s">
        <v>177</v>
      </c>
      <c r="C4" s="424" t="s">
        <v>178</v>
      </c>
      <c r="D4" s="424"/>
      <c r="E4" s="424"/>
      <c r="F4" s="424" t="s">
        <v>179</v>
      </c>
      <c r="G4" s="424" t="s">
        <v>180</v>
      </c>
      <c r="H4" s="424" t="s">
        <v>181</v>
      </c>
      <c r="I4" s="424" t="s">
        <v>182</v>
      </c>
      <c r="J4" s="419"/>
    </row>
    <row r="5" spans="1:26" s="310" customFormat="1" ht="52.8" x14ac:dyDescent="0.25">
      <c r="A5" s="423"/>
      <c r="B5" s="425"/>
      <c r="C5" s="316" t="s">
        <v>183</v>
      </c>
      <c r="D5" s="316" t="s">
        <v>184</v>
      </c>
      <c r="E5" s="316" t="s">
        <v>185</v>
      </c>
      <c r="F5" s="425"/>
      <c r="G5" s="425"/>
      <c r="H5" s="425"/>
      <c r="I5" s="316" t="s">
        <v>186</v>
      </c>
      <c r="J5" s="315" t="s">
        <v>187</v>
      </c>
    </row>
    <row r="6" spans="1:26" s="212" customFormat="1" ht="12.75" x14ac:dyDescent="0.2">
      <c r="A6" s="209"/>
      <c r="B6" s="210"/>
      <c r="C6" s="210"/>
      <c r="D6" s="210"/>
      <c r="E6" s="210"/>
      <c r="F6" s="210"/>
      <c r="G6" s="210"/>
      <c r="H6" s="210"/>
      <c r="I6" s="210"/>
      <c r="J6" s="211"/>
    </row>
    <row r="7" spans="1:26" ht="26.4" x14ac:dyDescent="0.25">
      <c r="A7" s="213" t="s">
        <v>188</v>
      </c>
      <c r="B7" s="214">
        <v>19</v>
      </c>
      <c r="C7" s="29">
        <v>1484673.1</v>
      </c>
      <c r="D7" s="29">
        <f>E7-C7</f>
        <v>2710281.9</v>
      </c>
      <c r="E7" s="29">
        <v>4194955</v>
      </c>
      <c r="F7" s="29">
        <v>4210950.7638499998</v>
      </c>
      <c r="G7" s="29">
        <v>3567935.66866</v>
      </c>
      <c r="H7" s="29">
        <v>3548598.9580200007</v>
      </c>
      <c r="I7" s="29">
        <f>H7/E7%</f>
        <v>84.592062561338565</v>
      </c>
      <c r="J7" s="42">
        <f>H7/F7%</f>
        <v>84.270730222824497</v>
      </c>
    </row>
    <row r="8" spans="1:26" ht="39.6" x14ac:dyDescent="0.25">
      <c r="A8" s="213" t="s">
        <v>189</v>
      </c>
      <c r="B8" s="214">
        <v>23</v>
      </c>
      <c r="C8" s="29">
        <v>4869592.0999999996</v>
      </c>
      <c r="D8" s="29">
        <f t="shared" ref="D8:D41" si="0">E8-C8</f>
        <v>1152265.5</v>
      </c>
      <c r="E8" s="29">
        <v>6021857.5999999996</v>
      </c>
      <c r="F8" s="29">
        <v>6062072.4849099992</v>
      </c>
      <c r="G8" s="29">
        <v>5377993.1777400011</v>
      </c>
      <c r="H8" s="29">
        <v>5366635.812570001</v>
      </c>
      <c r="I8" s="29">
        <f t="shared" ref="I8:I42" si="1">H8/E8%</f>
        <v>89.119274633295902</v>
      </c>
      <c r="J8" s="42">
        <f t="shared" ref="J8:J42" si="2">H8/F8%</f>
        <v>88.528070654530893</v>
      </c>
    </row>
    <row r="9" spans="1:26" ht="39.6" x14ac:dyDescent="0.25">
      <c r="A9" s="213" t="s">
        <v>190</v>
      </c>
      <c r="B9" s="214">
        <v>45</v>
      </c>
      <c r="C9" s="29">
        <v>1009666.9</v>
      </c>
      <c r="D9" s="29">
        <f t="shared" si="0"/>
        <v>1904.5999999999767</v>
      </c>
      <c r="E9" s="29">
        <v>1011571.5</v>
      </c>
      <c r="F9" s="29">
        <v>1013983.9739999999</v>
      </c>
      <c r="G9" s="29">
        <v>1004035.9650000001</v>
      </c>
      <c r="H9" s="29">
        <v>988795.24469999992</v>
      </c>
      <c r="I9" s="29">
        <f t="shared" si="1"/>
        <v>97.748428529273497</v>
      </c>
      <c r="J9" s="42">
        <f t="shared" si="2"/>
        <v>97.515865147194134</v>
      </c>
    </row>
    <row r="10" spans="1:26" ht="26.4" x14ac:dyDescent="0.25">
      <c r="A10" s="213" t="s">
        <v>191</v>
      </c>
      <c r="B10" s="214">
        <v>62</v>
      </c>
      <c r="C10" s="29">
        <v>12089947.800000001</v>
      </c>
      <c r="D10" s="29">
        <f t="shared" si="0"/>
        <v>645970.19999999925</v>
      </c>
      <c r="E10" s="29">
        <v>12735918</v>
      </c>
      <c r="F10" s="29">
        <v>13034113.26307</v>
      </c>
      <c r="G10" s="29">
        <v>13033645.556440001</v>
      </c>
      <c r="H10" s="29">
        <v>13002733.610770002</v>
      </c>
      <c r="I10" s="29">
        <f t="shared" si="1"/>
        <v>102.09498530667364</v>
      </c>
      <c r="J10" s="42">
        <f t="shared" si="2"/>
        <v>99.759249811117513</v>
      </c>
    </row>
    <row r="11" spans="1:26" x14ac:dyDescent="0.25">
      <c r="A11" s="213" t="s">
        <v>192</v>
      </c>
      <c r="B11" s="214">
        <v>69</v>
      </c>
      <c r="C11" s="29">
        <v>729853.5</v>
      </c>
      <c r="D11" s="29">
        <f t="shared" si="0"/>
        <v>44717.400000000023</v>
      </c>
      <c r="E11" s="29">
        <v>774570.9</v>
      </c>
      <c r="F11" s="29">
        <v>814639.68997999991</v>
      </c>
      <c r="G11" s="29">
        <v>814507.00972999993</v>
      </c>
      <c r="H11" s="29">
        <v>814413.36222999985</v>
      </c>
      <c r="I11" s="29">
        <f t="shared" si="1"/>
        <v>105.14381088032094</v>
      </c>
      <c r="J11" s="42">
        <f t="shared" si="2"/>
        <v>99.97221744130762</v>
      </c>
    </row>
    <row r="12" spans="1:26" ht="26.4" x14ac:dyDescent="0.25">
      <c r="A12" s="213" t="s">
        <v>193</v>
      </c>
      <c r="B12" s="214">
        <v>75</v>
      </c>
      <c r="C12" s="29">
        <v>17061761</v>
      </c>
      <c r="D12" s="29">
        <f t="shared" si="0"/>
        <v>273240.10000000149</v>
      </c>
      <c r="E12" s="29">
        <v>17335001.100000001</v>
      </c>
      <c r="F12" s="29">
        <v>17369234.854770001</v>
      </c>
      <c r="G12" s="29">
        <v>17339623.65777</v>
      </c>
      <c r="H12" s="29">
        <v>17320496.47397</v>
      </c>
      <c r="I12" s="29">
        <f t="shared" si="1"/>
        <v>99.916327515952659</v>
      </c>
      <c r="J12" s="42">
        <f t="shared" si="2"/>
        <v>99.719398227915519</v>
      </c>
    </row>
    <row r="13" spans="1:26" ht="26.4" x14ac:dyDescent="0.25">
      <c r="A13" s="213" t="s">
        <v>194</v>
      </c>
      <c r="B13" s="214">
        <v>79</v>
      </c>
      <c r="C13" s="29">
        <v>10884.7</v>
      </c>
      <c r="D13" s="29">
        <f t="shared" si="0"/>
        <v>-10884.7</v>
      </c>
      <c r="E13" s="29"/>
      <c r="F13" s="29"/>
      <c r="G13" s="29"/>
      <c r="H13" s="29"/>
      <c r="I13" s="29"/>
      <c r="J13" s="42"/>
      <c r="Z13" s="215"/>
    </row>
    <row r="14" spans="1:26" ht="26.4" x14ac:dyDescent="0.25">
      <c r="A14" s="213" t="s">
        <v>195</v>
      </c>
      <c r="B14" s="214">
        <v>83</v>
      </c>
      <c r="C14" s="29">
        <v>776005.9</v>
      </c>
      <c r="D14" s="29">
        <f t="shared" si="0"/>
        <v>469362.1</v>
      </c>
      <c r="E14" s="29">
        <v>1245368</v>
      </c>
      <c r="F14" s="29">
        <v>1089902.8468900002</v>
      </c>
      <c r="G14" s="29">
        <v>1056569.3135499998</v>
      </c>
      <c r="H14" s="29">
        <v>1052953.4875099999</v>
      </c>
      <c r="I14" s="29">
        <f t="shared" si="1"/>
        <v>84.549585946483276</v>
      </c>
      <c r="J14" s="42">
        <f t="shared" si="2"/>
        <v>96.609848346994042</v>
      </c>
    </row>
    <row r="15" spans="1:26" x14ac:dyDescent="0.25">
      <c r="A15" s="213" t="s">
        <v>196</v>
      </c>
      <c r="B15" s="214">
        <v>90</v>
      </c>
      <c r="C15" s="29">
        <v>6053284.5999999996</v>
      </c>
      <c r="D15" s="29">
        <f t="shared" si="0"/>
        <v>-871353.19999999925</v>
      </c>
      <c r="E15" s="29">
        <v>5181931.4000000004</v>
      </c>
      <c r="F15" s="29">
        <v>4932114.4465199998</v>
      </c>
      <c r="G15" s="29">
        <v>4799775.6756900009</v>
      </c>
      <c r="H15" s="29">
        <v>4798762.5408600001</v>
      </c>
      <c r="I15" s="29">
        <f t="shared" si="1"/>
        <v>92.605674804185938</v>
      </c>
      <c r="J15" s="42">
        <f t="shared" si="2"/>
        <v>97.296252811933627</v>
      </c>
    </row>
    <row r="16" spans="1:26" x14ac:dyDescent="0.25">
      <c r="A16" s="213" t="s">
        <v>197</v>
      </c>
      <c r="B16" s="214">
        <v>104</v>
      </c>
      <c r="C16" s="29">
        <v>3899495.5</v>
      </c>
      <c r="D16" s="29">
        <f t="shared" si="0"/>
        <v>1477710.4000000004</v>
      </c>
      <c r="E16" s="29">
        <v>5377205.9000000004</v>
      </c>
      <c r="F16" s="29">
        <v>5387626.3051400008</v>
      </c>
      <c r="G16" s="29">
        <v>5312657.6698399996</v>
      </c>
      <c r="H16" s="29">
        <v>5303170.5836999994</v>
      </c>
      <c r="I16" s="29">
        <f t="shared" si="1"/>
        <v>98.623163820079853</v>
      </c>
      <c r="J16" s="42">
        <f t="shared" si="2"/>
        <v>98.432413150863354</v>
      </c>
    </row>
    <row r="17" spans="1:10" ht="26.4" x14ac:dyDescent="0.25">
      <c r="A17" s="213" t="s">
        <v>198</v>
      </c>
      <c r="B17" s="214">
        <v>133</v>
      </c>
      <c r="C17" s="29">
        <v>19933.3</v>
      </c>
      <c r="D17" s="29">
        <f t="shared" si="0"/>
        <v>-19933.3</v>
      </c>
      <c r="E17" s="29"/>
      <c r="F17" s="29"/>
      <c r="G17" s="29"/>
      <c r="H17" s="29"/>
      <c r="I17" s="29"/>
      <c r="J17" s="42"/>
    </row>
    <row r="18" spans="1:10" ht="26.4" x14ac:dyDescent="0.25">
      <c r="A18" s="213" t="s">
        <v>199</v>
      </c>
      <c r="B18" s="214">
        <v>138</v>
      </c>
      <c r="C18" s="29">
        <v>120594.3</v>
      </c>
      <c r="D18" s="29">
        <f t="shared" si="0"/>
        <v>192806.5</v>
      </c>
      <c r="E18" s="29">
        <v>313400.8</v>
      </c>
      <c r="F18" s="29">
        <v>313400.78904999996</v>
      </c>
      <c r="G18" s="29">
        <v>311372.46511999995</v>
      </c>
      <c r="H18" s="29">
        <v>306846.14782999997</v>
      </c>
      <c r="I18" s="29">
        <f t="shared" si="1"/>
        <v>97.908540064352096</v>
      </c>
      <c r="J18" s="42">
        <f t="shared" si="2"/>
        <v>97.90854348520665</v>
      </c>
    </row>
    <row r="19" spans="1:10" ht="26.4" x14ac:dyDescent="0.25">
      <c r="A19" s="213" t="s">
        <v>200</v>
      </c>
      <c r="B19" s="214">
        <v>154</v>
      </c>
      <c r="C19" s="29">
        <v>39622.699999999997</v>
      </c>
      <c r="D19" s="29">
        <f t="shared" si="0"/>
        <v>0</v>
      </c>
      <c r="E19" s="29">
        <v>39622.699999999997</v>
      </c>
      <c r="F19" s="29">
        <v>42666.608</v>
      </c>
      <c r="G19" s="29">
        <v>42666.608</v>
      </c>
      <c r="H19" s="29">
        <v>42666.491720000005</v>
      </c>
      <c r="I19" s="29">
        <f t="shared" si="1"/>
        <v>107.68193919142311</v>
      </c>
      <c r="J19" s="42">
        <f t="shared" si="2"/>
        <v>99.999727468375283</v>
      </c>
    </row>
    <row r="20" spans="1:10" ht="26.4" x14ac:dyDescent="0.25">
      <c r="A20" s="213" t="s">
        <v>201</v>
      </c>
      <c r="B20" s="214">
        <v>156</v>
      </c>
      <c r="C20" s="29">
        <v>10908442</v>
      </c>
      <c r="D20" s="29">
        <f t="shared" si="0"/>
        <v>-99350.300000000745</v>
      </c>
      <c r="E20" s="29">
        <v>10809091.699999999</v>
      </c>
      <c r="F20" s="29">
        <v>11163655.504780004</v>
      </c>
      <c r="G20" s="29">
        <v>10870586.983440002</v>
      </c>
      <c r="H20" s="29">
        <v>10834986.912279999</v>
      </c>
      <c r="I20" s="29">
        <f t="shared" si="1"/>
        <v>100.23956880928303</v>
      </c>
      <c r="J20" s="42">
        <f t="shared" si="2"/>
        <v>97.05590527798644</v>
      </c>
    </row>
    <row r="21" spans="1:10" ht="26.4" x14ac:dyDescent="0.25">
      <c r="A21" s="213" t="s">
        <v>202</v>
      </c>
      <c r="B21" s="214">
        <v>163</v>
      </c>
      <c r="C21" s="29">
        <v>61418.2</v>
      </c>
      <c r="D21" s="29">
        <f t="shared" si="0"/>
        <v>-2351.7999999999956</v>
      </c>
      <c r="E21" s="29">
        <v>59066.400000000001</v>
      </c>
      <c r="F21" s="29">
        <v>59066.400000000001</v>
      </c>
      <c r="G21" s="29">
        <v>58371.98676</v>
      </c>
      <c r="H21" s="29">
        <v>58113.890639999998</v>
      </c>
      <c r="I21" s="29">
        <f t="shared" si="1"/>
        <v>98.387392222989718</v>
      </c>
      <c r="J21" s="42">
        <f t="shared" si="2"/>
        <v>98.387392222989718</v>
      </c>
    </row>
    <row r="22" spans="1:10" ht="26.4" x14ac:dyDescent="0.25">
      <c r="A22" s="213" t="s">
        <v>203</v>
      </c>
      <c r="B22" s="214">
        <v>175</v>
      </c>
      <c r="C22" s="29">
        <v>23813.9</v>
      </c>
      <c r="D22" s="29">
        <f t="shared" si="0"/>
        <v>-17940.2</v>
      </c>
      <c r="E22" s="29">
        <v>5873.7</v>
      </c>
      <c r="F22" s="29">
        <v>5873.6936699999997</v>
      </c>
      <c r="G22" s="29">
        <v>5873.6936699999997</v>
      </c>
      <c r="H22" s="29">
        <v>5873.6936699999997</v>
      </c>
      <c r="I22" s="29">
        <f t="shared" si="1"/>
        <v>99.999892231472501</v>
      </c>
      <c r="J22" s="42">
        <f t="shared" si="2"/>
        <v>100</v>
      </c>
    </row>
    <row r="23" spans="1:10" ht="39.6" x14ac:dyDescent="0.25">
      <c r="A23" s="213" t="s">
        <v>204</v>
      </c>
      <c r="B23" s="214">
        <v>176</v>
      </c>
      <c r="C23" s="29">
        <v>1075677.6000000001</v>
      </c>
      <c r="D23" s="29">
        <f t="shared" si="0"/>
        <v>64756.199999999953</v>
      </c>
      <c r="E23" s="29">
        <v>1140433.8</v>
      </c>
      <c r="F23" s="29">
        <v>1141107.6576800002</v>
      </c>
      <c r="G23" s="29">
        <v>1141107.6576800002</v>
      </c>
      <c r="H23" s="29">
        <v>1141107.6576800002</v>
      </c>
      <c r="I23" s="29">
        <f t="shared" si="1"/>
        <v>100.0590878383296</v>
      </c>
      <c r="J23" s="42">
        <f t="shared" si="2"/>
        <v>100</v>
      </c>
    </row>
    <row r="24" spans="1:10" ht="26.4" x14ac:dyDescent="0.25">
      <c r="A24" s="213" t="s">
        <v>205</v>
      </c>
      <c r="B24" s="214">
        <v>263</v>
      </c>
      <c r="C24" s="29">
        <v>522976.3</v>
      </c>
      <c r="D24" s="29">
        <f t="shared" si="0"/>
        <v>156007.00000000006</v>
      </c>
      <c r="E24" s="29">
        <v>678983.3</v>
      </c>
      <c r="F24" s="29">
        <v>738400.6251699999</v>
      </c>
      <c r="G24" s="29">
        <v>738400.62515999994</v>
      </c>
      <c r="H24" s="29">
        <v>665340.9487699999</v>
      </c>
      <c r="I24" s="29">
        <f t="shared" si="1"/>
        <v>97.990767780297375</v>
      </c>
      <c r="J24" s="42">
        <f t="shared" si="2"/>
        <v>90.105686004371989</v>
      </c>
    </row>
    <row r="25" spans="1:10" ht="26.4" x14ac:dyDescent="0.25">
      <c r="A25" s="213" t="s">
        <v>206</v>
      </c>
      <c r="B25" s="214">
        <v>300</v>
      </c>
      <c r="C25" s="29">
        <v>12809.5</v>
      </c>
      <c r="D25" s="29">
        <f t="shared" si="0"/>
        <v>-400</v>
      </c>
      <c r="E25" s="29">
        <v>12409.5</v>
      </c>
      <c r="F25" s="29">
        <v>12409.500000000002</v>
      </c>
      <c r="G25" s="29">
        <v>12409.500000000002</v>
      </c>
      <c r="H25" s="29">
        <v>12345.101350000001</v>
      </c>
      <c r="I25" s="29">
        <f t="shared" si="1"/>
        <v>99.481053628268668</v>
      </c>
      <c r="J25" s="42">
        <f t="shared" si="2"/>
        <v>99.481053628268654</v>
      </c>
    </row>
    <row r="26" spans="1:10" ht="26.4" x14ac:dyDescent="0.25">
      <c r="A26" s="213" t="s">
        <v>207</v>
      </c>
      <c r="B26" s="214">
        <v>301</v>
      </c>
      <c r="C26" s="29">
        <v>898572</v>
      </c>
      <c r="D26" s="29">
        <f t="shared" si="0"/>
        <v>92766.199999999953</v>
      </c>
      <c r="E26" s="29">
        <v>991338.2</v>
      </c>
      <c r="F26" s="29">
        <v>1000587.6887000001</v>
      </c>
      <c r="G26" s="29">
        <v>994579.5415680001</v>
      </c>
      <c r="H26" s="29">
        <v>991464.72557999997</v>
      </c>
      <c r="I26" s="29">
        <f t="shared" si="1"/>
        <v>100.01276310950189</v>
      </c>
      <c r="J26" s="42">
        <f t="shared" si="2"/>
        <v>99.088239519331594</v>
      </c>
    </row>
    <row r="27" spans="1:10" ht="26.4" x14ac:dyDescent="0.25">
      <c r="A27" s="213" t="s">
        <v>208</v>
      </c>
      <c r="B27" s="214">
        <v>304</v>
      </c>
      <c r="C27" s="29">
        <v>39912.800000000003</v>
      </c>
      <c r="D27" s="29">
        <f t="shared" si="0"/>
        <v>0</v>
      </c>
      <c r="E27" s="29">
        <v>39912.800000000003</v>
      </c>
      <c r="F27" s="29">
        <v>39912.799999999996</v>
      </c>
      <c r="G27" s="29">
        <v>39875.807019999993</v>
      </c>
      <c r="H27" s="29">
        <v>39807.914250000002</v>
      </c>
      <c r="I27" s="29">
        <f t="shared" si="1"/>
        <v>99.737212748792359</v>
      </c>
      <c r="J27" s="42">
        <f t="shared" si="2"/>
        <v>99.737212748792388</v>
      </c>
    </row>
    <row r="28" spans="1:10" ht="26.4" x14ac:dyDescent="0.25">
      <c r="A28" s="213" t="s">
        <v>209</v>
      </c>
      <c r="B28" s="214">
        <v>306</v>
      </c>
      <c r="C28" s="29">
        <v>49252.2</v>
      </c>
      <c r="D28" s="29">
        <f t="shared" si="0"/>
        <v>0</v>
      </c>
      <c r="E28" s="29">
        <v>49252.2</v>
      </c>
      <c r="F28" s="29">
        <v>49252.200000000004</v>
      </c>
      <c r="G28" s="29">
        <v>48770.5</v>
      </c>
      <c r="H28" s="29">
        <v>48770.5</v>
      </c>
      <c r="I28" s="29">
        <f t="shared" si="1"/>
        <v>99.021972622542748</v>
      </c>
      <c r="J28" s="42">
        <f t="shared" si="2"/>
        <v>99.021972622542734</v>
      </c>
    </row>
    <row r="29" spans="1:10" x14ac:dyDescent="0.25">
      <c r="A29" s="213" t="s">
        <v>210</v>
      </c>
      <c r="B29" s="214">
        <v>311</v>
      </c>
      <c r="C29" s="29">
        <v>36331.5</v>
      </c>
      <c r="D29" s="29">
        <f t="shared" si="0"/>
        <v>101976.1</v>
      </c>
      <c r="E29" s="29">
        <v>138307.6</v>
      </c>
      <c r="F29" s="29">
        <v>138307.6</v>
      </c>
      <c r="G29" s="29">
        <v>138307.6</v>
      </c>
      <c r="H29" s="29">
        <v>137588.57276000001</v>
      </c>
      <c r="I29" s="29">
        <f t="shared" si="1"/>
        <v>99.480124562930754</v>
      </c>
      <c r="J29" s="42">
        <f t="shared" si="2"/>
        <v>99.480124562930754</v>
      </c>
    </row>
    <row r="30" spans="1:10" ht="26.4" x14ac:dyDescent="0.25">
      <c r="A30" s="213" t="s">
        <v>211</v>
      </c>
      <c r="B30" s="214">
        <v>313</v>
      </c>
      <c r="C30" s="29">
        <v>80366.399999999994</v>
      </c>
      <c r="D30" s="29">
        <f t="shared" si="0"/>
        <v>8528</v>
      </c>
      <c r="E30" s="29">
        <v>88894.399999999994</v>
      </c>
      <c r="F30" s="29">
        <v>100263.23499</v>
      </c>
      <c r="G30" s="29">
        <v>99645.726339999994</v>
      </c>
      <c r="H30" s="29">
        <v>92559.201150000008</v>
      </c>
      <c r="I30" s="29">
        <f t="shared" si="1"/>
        <v>104.12264568971725</v>
      </c>
      <c r="J30" s="42">
        <f t="shared" si="2"/>
        <v>92.31619262956319</v>
      </c>
    </row>
    <row r="31" spans="1:10" x14ac:dyDescent="0.25">
      <c r="A31" s="213" t="s">
        <v>212</v>
      </c>
      <c r="B31" s="214">
        <v>329</v>
      </c>
      <c r="C31" s="29">
        <v>195822.1</v>
      </c>
      <c r="D31" s="29">
        <f t="shared" si="0"/>
        <v>6756.6000000000058</v>
      </c>
      <c r="E31" s="29">
        <v>202578.7</v>
      </c>
      <c r="F31" s="29">
        <v>202578.69999999998</v>
      </c>
      <c r="G31" s="29">
        <v>202346.15899999999</v>
      </c>
      <c r="H31" s="29">
        <v>201661.71428000001</v>
      </c>
      <c r="I31" s="29">
        <f t="shared" si="1"/>
        <v>99.547343467008133</v>
      </c>
      <c r="J31" s="42">
        <f t="shared" si="2"/>
        <v>99.547343467008147</v>
      </c>
    </row>
    <row r="32" spans="1:10" ht="26.4" x14ac:dyDescent="0.25">
      <c r="A32" s="213" t="s">
        <v>503</v>
      </c>
      <c r="B32" s="214">
        <v>349</v>
      </c>
      <c r="C32" s="29">
        <v>172637.2</v>
      </c>
      <c r="D32" s="29">
        <f t="shared" si="0"/>
        <v>393775.99999999994</v>
      </c>
      <c r="E32" s="29">
        <v>566413.19999999995</v>
      </c>
      <c r="F32" s="29">
        <v>566413.19999999995</v>
      </c>
      <c r="G32" s="29">
        <v>372557.69309000002</v>
      </c>
      <c r="H32" s="29">
        <v>372373.99475000001</v>
      </c>
      <c r="I32" s="29">
        <f t="shared" si="1"/>
        <v>65.742464114536887</v>
      </c>
      <c r="J32" s="42">
        <f t="shared" si="2"/>
        <v>65.742464114536887</v>
      </c>
    </row>
    <row r="33" spans="1:10" ht="26.4" x14ac:dyDescent="0.25">
      <c r="A33" s="213" t="s">
        <v>213</v>
      </c>
      <c r="B33" s="214">
        <v>351</v>
      </c>
      <c r="C33" s="29">
        <v>86198.9</v>
      </c>
      <c r="D33" s="29">
        <f t="shared" si="0"/>
        <v>-12110</v>
      </c>
      <c r="E33" s="29">
        <v>74088.899999999994</v>
      </c>
      <c r="F33" s="29">
        <v>74198.899999999994</v>
      </c>
      <c r="G33" s="29">
        <v>74198.899999999994</v>
      </c>
      <c r="H33" s="29">
        <v>74198.899999999994</v>
      </c>
      <c r="I33" s="29">
        <f t="shared" si="1"/>
        <v>100.14847028367272</v>
      </c>
      <c r="J33" s="42">
        <f t="shared" si="2"/>
        <v>100</v>
      </c>
    </row>
    <row r="34" spans="1:10" ht="26.4" x14ac:dyDescent="0.25">
      <c r="A34" s="213" t="s">
        <v>214</v>
      </c>
      <c r="B34" s="214">
        <v>390</v>
      </c>
      <c r="C34" s="29">
        <v>47786.3</v>
      </c>
      <c r="D34" s="29">
        <f t="shared" si="0"/>
        <v>676.29999999999563</v>
      </c>
      <c r="E34" s="29">
        <v>48462.6</v>
      </c>
      <c r="F34" s="29">
        <v>48462.6</v>
      </c>
      <c r="G34" s="29">
        <v>48454.6</v>
      </c>
      <c r="H34" s="29">
        <v>48202.154880000002</v>
      </c>
      <c r="I34" s="29">
        <f t="shared" si="1"/>
        <v>99.462585333845084</v>
      </c>
      <c r="J34" s="42">
        <f t="shared" si="2"/>
        <v>99.462585333845084</v>
      </c>
    </row>
    <row r="35" spans="1:10" ht="26.4" x14ac:dyDescent="0.25">
      <c r="A35" s="213" t="s">
        <v>215</v>
      </c>
      <c r="B35" s="214">
        <v>398</v>
      </c>
      <c r="C35" s="29">
        <v>86386.4</v>
      </c>
      <c r="D35" s="29">
        <f t="shared" si="0"/>
        <v>1470</v>
      </c>
      <c r="E35" s="29">
        <v>87856.4</v>
      </c>
      <c r="F35" s="29">
        <v>89715.858999999997</v>
      </c>
      <c r="G35" s="29">
        <v>89715.858999999997</v>
      </c>
      <c r="H35" s="29">
        <v>89654.927590000007</v>
      </c>
      <c r="I35" s="29">
        <f t="shared" si="1"/>
        <v>102.04712188298178</v>
      </c>
      <c r="J35" s="42">
        <f t="shared" si="2"/>
        <v>99.932084014265527</v>
      </c>
    </row>
    <row r="36" spans="1:10" ht="39.6" x14ac:dyDescent="0.25">
      <c r="A36" s="213" t="s">
        <v>216</v>
      </c>
      <c r="B36" s="214">
        <v>435</v>
      </c>
      <c r="C36" s="29">
        <v>285572.7</v>
      </c>
      <c r="D36" s="29">
        <f t="shared" si="0"/>
        <v>0</v>
      </c>
      <c r="E36" s="29">
        <v>285572.7</v>
      </c>
      <c r="F36" s="29">
        <v>285572.7</v>
      </c>
      <c r="G36" s="29">
        <v>285572.7</v>
      </c>
      <c r="H36" s="29">
        <v>285572.57949000003</v>
      </c>
      <c r="I36" s="29">
        <f t="shared" si="1"/>
        <v>99.999957800588078</v>
      </c>
      <c r="J36" s="42">
        <f t="shared" si="2"/>
        <v>99.999957800588078</v>
      </c>
    </row>
    <row r="37" spans="1:10" ht="26.4" x14ac:dyDescent="0.25">
      <c r="A37" s="213" t="s">
        <v>217</v>
      </c>
      <c r="B37" s="214">
        <v>730</v>
      </c>
      <c r="C37" s="29">
        <v>28036</v>
      </c>
      <c r="D37" s="29">
        <f t="shared" si="0"/>
        <v>0</v>
      </c>
      <c r="E37" s="29">
        <v>28036</v>
      </c>
      <c r="F37" s="29">
        <v>28036</v>
      </c>
      <c r="G37" s="29">
        <v>28036</v>
      </c>
      <c r="H37" s="29">
        <v>27746.585710000003</v>
      </c>
      <c r="I37" s="29">
        <f t="shared" si="1"/>
        <v>98.96770477243544</v>
      </c>
      <c r="J37" s="42">
        <f t="shared" si="2"/>
        <v>98.96770477243544</v>
      </c>
    </row>
    <row r="38" spans="1:10" ht="39.6" x14ac:dyDescent="0.25">
      <c r="A38" s="213" t="s">
        <v>218</v>
      </c>
      <c r="B38" s="214">
        <v>731</v>
      </c>
      <c r="C38" s="29">
        <v>28237.599999999999</v>
      </c>
      <c r="D38" s="29">
        <f t="shared" si="0"/>
        <v>0</v>
      </c>
      <c r="E38" s="29">
        <v>28237.599999999999</v>
      </c>
      <c r="F38" s="29">
        <v>28237.599999999999</v>
      </c>
      <c r="G38" s="29">
        <v>28237.599999999999</v>
      </c>
      <c r="H38" s="29">
        <v>28052.30818</v>
      </c>
      <c r="I38" s="29">
        <f t="shared" si="1"/>
        <v>99.34381172620904</v>
      </c>
      <c r="J38" s="42">
        <f t="shared" si="2"/>
        <v>99.34381172620904</v>
      </c>
    </row>
    <row r="39" spans="1:10" ht="26.4" x14ac:dyDescent="0.25">
      <c r="A39" s="213" t="s">
        <v>219</v>
      </c>
      <c r="B39" s="214">
        <v>732</v>
      </c>
      <c r="C39" s="29">
        <v>26543.1</v>
      </c>
      <c r="D39" s="29">
        <f t="shared" si="0"/>
        <v>2.5</v>
      </c>
      <c r="E39" s="29">
        <v>26545.599999999999</v>
      </c>
      <c r="F39" s="29">
        <v>26545.60152</v>
      </c>
      <c r="G39" s="29">
        <v>26545.60152</v>
      </c>
      <c r="H39" s="29">
        <v>26545.60152</v>
      </c>
      <c r="I39" s="29">
        <f t="shared" si="1"/>
        <v>100.00000572599603</v>
      </c>
      <c r="J39" s="42">
        <f t="shared" si="2"/>
        <v>99.999999999999986</v>
      </c>
    </row>
    <row r="40" spans="1:10" x14ac:dyDescent="0.25">
      <c r="A40" s="213" t="s">
        <v>220</v>
      </c>
      <c r="B40" s="214">
        <v>735</v>
      </c>
      <c r="C40" s="29">
        <v>58672.3</v>
      </c>
      <c r="D40" s="29">
        <f t="shared" si="0"/>
        <v>416.19999999999709</v>
      </c>
      <c r="E40" s="29">
        <v>59088.5</v>
      </c>
      <c r="F40" s="29">
        <v>59088.469919999996</v>
      </c>
      <c r="G40" s="29">
        <v>59088.469919999996</v>
      </c>
      <c r="H40" s="29">
        <v>58924.648499999996</v>
      </c>
      <c r="I40" s="29">
        <f t="shared" si="1"/>
        <v>99.722701540908972</v>
      </c>
      <c r="J40" s="42">
        <f t="shared" si="2"/>
        <v>99.722752306462155</v>
      </c>
    </row>
    <row r="41" spans="1:10" ht="26.4" x14ac:dyDescent="0.25">
      <c r="A41" s="213" t="s">
        <v>221</v>
      </c>
      <c r="B41" s="214">
        <v>737</v>
      </c>
      <c r="C41" s="29">
        <v>167870.1</v>
      </c>
      <c r="D41" s="29">
        <f t="shared" si="0"/>
        <v>0</v>
      </c>
      <c r="E41" s="29">
        <v>167870.1</v>
      </c>
      <c r="F41" s="29">
        <v>167870.1</v>
      </c>
      <c r="G41" s="29">
        <v>167870.1</v>
      </c>
      <c r="H41" s="29">
        <v>167870.1</v>
      </c>
      <c r="I41" s="29">
        <f t="shared" si="1"/>
        <v>100</v>
      </c>
      <c r="J41" s="42">
        <f t="shared" si="2"/>
        <v>100</v>
      </c>
    </row>
    <row r="42" spans="1:10" s="215" customFormat="1" ht="13.8" thickBot="1" x14ac:dyDescent="0.3">
      <c r="A42" s="216" t="s">
        <v>222</v>
      </c>
      <c r="B42" s="217"/>
      <c r="C42" s="218">
        <f>SUM(C7:C41)</f>
        <v>63058650.5</v>
      </c>
      <c r="D42" s="218">
        <f>SUM(D7:D41)</f>
        <v>6761066.3000000007</v>
      </c>
      <c r="E42" s="218">
        <f t="shared" ref="E42:H42" si="3">SUM(E7:E41)</f>
        <v>69819716.799999982</v>
      </c>
      <c r="F42" s="218">
        <f t="shared" si="3"/>
        <v>70296262.661609992</v>
      </c>
      <c r="G42" s="218">
        <f t="shared" si="3"/>
        <v>68191336.071708009</v>
      </c>
      <c r="H42" s="218">
        <f t="shared" si="3"/>
        <v>67954835.346910015</v>
      </c>
      <c r="I42" s="218">
        <f t="shared" si="1"/>
        <v>97.32900455836571</v>
      </c>
      <c r="J42" s="219">
        <f t="shared" si="2"/>
        <v>96.669200856422378</v>
      </c>
    </row>
    <row r="43" spans="1:10" ht="13.8" thickTop="1" x14ac:dyDescent="0.25"/>
  </sheetData>
  <sheetProtection sheet="1" objects="1" scenarios="1"/>
  <mergeCells count="8">
    <mergeCell ref="A2:J2"/>
    <mergeCell ref="A4:A5"/>
    <mergeCell ref="B4:B5"/>
    <mergeCell ref="C4:E4"/>
    <mergeCell ref="F4:F5"/>
    <mergeCell ref="G4:G5"/>
    <mergeCell ref="H4:H5"/>
    <mergeCell ref="I4:J4"/>
  </mergeCells>
  <conditionalFormatting sqref="B7:B41">
    <cfRule type="cellIs" dxfId="0" priority="1" operator="equal">
      <formula>"-"</formula>
    </cfRule>
  </conditionalFormatting>
  <pageMargins left="0.70866141732283472" right="0.39370078740157483" top="0.39370078740157483" bottom="0.3937007874015748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14</vt:i4>
      </vt:variant>
    </vt:vector>
  </HeadingPairs>
  <TitlesOfParts>
    <vt:vector size="26" baseType="lpstr">
      <vt:lpstr>Приложение № 1 конс.</vt:lpstr>
      <vt:lpstr>Приложение № 1.1 Доходы к 2014</vt:lpstr>
      <vt:lpstr>Приложение № 2 бюджеты МО</vt:lpstr>
      <vt:lpstr>Приложение № 3 доходы МО</vt:lpstr>
      <vt:lpstr>Приложение № 4 выравн.</vt:lpstr>
      <vt:lpstr>Приложение № 5 расходы конс.</vt:lpstr>
      <vt:lpstr>Приложение № 6 зарплата</vt:lpstr>
      <vt:lpstr>Приложение № 7 инвестиции МО</vt:lpstr>
      <vt:lpstr>Приложение № 8 расходы ГРБС</vt:lpstr>
      <vt:lpstr>Прилоежние № 9 планы ФХД</vt:lpstr>
      <vt:lpstr>Приложение № 10 программы</vt:lpstr>
      <vt:lpstr>Приложение № 11 здрав</vt:lpstr>
      <vt:lpstr>'Прилоежние № 9 планы ФХД'!Заголовки_для_печати</vt:lpstr>
      <vt:lpstr>'Приложение № 1.1 Доходы к 2014'!Заголовки_для_печати</vt:lpstr>
      <vt:lpstr>'Приложение № 10 программы'!Заголовки_для_печати</vt:lpstr>
      <vt:lpstr>'Приложение № 11 здрав'!Заголовки_для_печати</vt:lpstr>
      <vt:lpstr>'Прилоежние № 9 планы ФХД'!Область_печати</vt:lpstr>
      <vt:lpstr>'Приложение № 1 конс.'!Область_печати</vt:lpstr>
      <vt:lpstr>'Приложение № 10 программы'!Область_печати</vt:lpstr>
      <vt:lpstr>'Приложение № 11 здрав'!Область_печати</vt:lpstr>
      <vt:lpstr>'Приложение № 2 бюджеты МО'!Область_печати</vt:lpstr>
      <vt:lpstr>'Приложение № 3 доходы МО'!Область_печати</vt:lpstr>
      <vt:lpstr>'Приложение № 4 выравн.'!Область_печати</vt:lpstr>
      <vt:lpstr>'Приложение № 5 расходы конс.'!Область_печати</vt:lpstr>
      <vt:lpstr>'Приложение № 6 зарплата'!Область_печати</vt:lpstr>
      <vt:lpstr>'Приложение № 8 расходы ГРБС'!Область_печати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Калинин</dc:creator>
  <cp:lastModifiedBy>Сергей Калинин</cp:lastModifiedBy>
  <cp:lastPrinted>2016-05-23T13:51:23Z</cp:lastPrinted>
  <dcterms:created xsi:type="dcterms:W3CDTF">2016-05-07T11:22:55Z</dcterms:created>
  <dcterms:modified xsi:type="dcterms:W3CDTF">2016-06-30T08:24:30Z</dcterms:modified>
</cp:coreProperties>
</file>