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92" windowWidth="19416" windowHeight="10836" firstSheet="4" activeTab="8"/>
  </bookViews>
  <sheets>
    <sheet name="Приложение № 1.1" sheetId="1" r:id="rId1"/>
    <sheet name="Приложение № 1.2" sheetId="5" r:id="rId2"/>
    <sheet name="Приложение № 1.3" sheetId="8" r:id="rId3"/>
    <sheet name="Приложение № 1.4" sheetId="4" r:id="rId4"/>
    <sheet name="Приложение № 1.5" sheetId="2" r:id="rId5"/>
    <sheet name="Приложение № 4.1" sheetId="9" r:id="rId6"/>
    <sheet name="Приложение № 4.2" sheetId="12" r:id="rId7"/>
    <sheet name="Приложение № 4.3" sheetId="13" r:id="rId8"/>
    <sheet name="Приложение № 4.4" sheetId="11" r:id="rId9"/>
    <sheet name="Черн" sheetId="3" state="hidden" r:id="rId10"/>
    <sheet name="Безвозмезд." sheetId="7" state="hidden" r:id="rId11"/>
  </sheets>
  <externalReferences>
    <externalReference r:id="rId12"/>
  </externalReferences>
  <definedNames>
    <definedName name="_xlnm._FilterDatabase" localSheetId="2" hidden="1">'Приложение № 1.3'!$A$8:$T$45</definedName>
    <definedName name="_xlnm._FilterDatabase" localSheetId="3" hidden="1">'Приложение № 1.4'!$A$8:$O$36</definedName>
    <definedName name="_xlnm._FilterDatabase" localSheetId="4" hidden="1">'Приложение № 1.5'!$A$9:$T$36</definedName>
    <definedName name="_xlnm.Print_Titles" localSheetId="5">'Приложение № 4.1'!$6:$7</definedName>
    <definedName name="_xlnm.Print_Area" localSheetId="0">'Приложение № 1.1'!$A$1:$AI$147</definedName>
    <definedName name="_xlnm.Print_Area" localSheetId="1">'Приложение № 1.2'!$A$1:$S$33</definedName>
    <definedName name="_xlnm.Print_Area" localSheetId="2">'Приложение № 1.3'!$A$1:$S$45</definedName>
    <definedName name="_xlnm.Print_Area" localSheetId="3">'Приложение № 1.4'!$A$1:$O$35</definedName>
    <definedName name="_xlnm.Print_Area" localSheetId="4">'Приложение № 1.5'!$A$1:$T$36</definedName>
    <definedName name="_xlnm.Print_Area" localSheetId="5">'Приложение № 4.1'!$A$1:$O$185</definedName>
    <definedName name="_xlnm.Print_Area" localSheetId="8">'Приложение № 4.4'!$A$1:$Y$24</definedName>
  </definedNames>
  <calcPr calcId="145621"/>
</workbook>
</file>

<file path=xl/calcChain.xml><?xml version="1.0" encoding="utf-8"?>
<calcChain xmlns="http://schemas.openxmlformats.org/spreadsheetml/2006/main">
  <c r="B143" i="1" l="1"/>
  <c r="B142" i="1"/>
  <c r="J142" i="1" l="1"/>
  <c r="T10" i="2" l="1"/>
  <c r="S10" i="2"/>
  <c r="R10" i="2"/>
  <c r="O10" i="2"/>
  <c r="L10" i="2"/>
  <c r="K10" i="2"/>
  <c r="J10" i="2"/>
  <c r="G10" i="2"/>
  <c r="G9" i="4"/>
  <c r="AB38" i="13" l="1"/>
  <c r="Y38" i="13"/>
  <c r="X38" i="13"/>
  <c r="AA38" i="13" s="1"/>
  <c r="W38" i="13"/>
  <c r="V38" i="13"/>
  <c r="U38" i="13"/>
  <c r="T38" i="13"/>
  <c r="Z38" i="13" s="1"/>
  <c r="P38" i="13"/>
  <c r="S38" i="13" s="1"/>
  <c r="O38" i="13"/>
  <c r="N38" i="13"/>
  <c r="Q38" i="13" s="1"/>
  <c r="M38" i="13"/>
  <c r="L38" i="13"/>
  <c r="R38" i="13" s="1"/>
  <c r="K38" i="13"/>
  <c r="H38" i="13"/>
  <c r="G38" i="13"/>
  <c r="F38" i="13"/>
  <c r="I38" i="13" s="1"/>
  <c r="E38" i="13"/>
  <c r="D38" i="13"/>
  <c r="J38" i="13" s="1"/>
  <c r="C38" i="13"/>
  <c r="B38" i="13"/>
  <c r="W37" i="13"/>
  <c r="V37" i="13"/>
  <c r="U37" i="13"/>
  <c r="T37" i="13"/>
  <c r="N37" i="13"/>
  <c r="Q37" i="13" s="1"/>
  <c r="M37" i="13"/>
  <c r="L37" i="13"/>
  <c r="K37" i="13"/>
  <c r="H37" i="13"/>
  <c r="E37" i="13"/>
  <c r="B37" i="13"/>
  <c r="AA36" i="13"/>
  <c r="Y36" i="13"/>
  <c r="AB36" i="13" s="1"/>
  <c r="X36" i="13"/>
  <c r="W36" i="13"/>
  <c r="Z36" i="13" s="1"/>
  <c r="V36" i="13"/>
  <c r="U36" i="13"/>
  <c r="T36" i="13"/>
  <c r="S36" i="13"/>
  <c r="P36" i="13"/>
  <c r="O36" i="13"/>
  <c r="R36" i="13" s="1"/>
  <c r="N36" i="13"/>
  <c r="M36" i="13"/>
  <c r="L36" i="13"/>
  <c r="K36" i="13"/>
  <c r="Q36" i="13" s="1"/>
  <c r="G36" i="13"/>
  <c r="J36" i="13" s="1"/>
  <c r="F36" i="13"/>
  <c r="E36" i="13"/>
  <c r="H36" i="13" s="1"/>
  <c r="D36" i="13"/>
  <c r="C36" i="13"/>
  <c r="I36" i="13" s="1"/>
  <c r="B36" i="13"/>
  <c r="Y35" i="13"/>
  <c r="X35" i="13"/>
  <c r="W35" i="13"/>
  <c r="V35" i="13"/>
  <c r="U35" i="13"/>
  <c r="T35" i="13"/>
  <c r="P35" i="13"/>
  <c r="O35" i="13"/>
  <c r="N35" i="13"/>
  <c r="M35" i="13"/>
  <c r="L35" i="13"/>
  <c r="K35" i="13"/>
  <c r="G35" i="13"/>
  <c r="F35" i="13"/>
  <c r="E35" i="13"/>
  <c r="D35" i="13"/>
  <c r="C35" i="13"/>
  <c r="B35" i="13"/>
  <c r="Y34" i="13"/>
  <c r="X34" i="13"/>
  <c r="W34" i="13"/>
  <c r="V34" i="13"/>
  <c r="U34" i="13"/>
  <c r="T34" i="13"/>
  <c r="P34" i="13"/>
  <c r="O34" i="13"/>
  <c r="N34" i="13"/>
  <c r="M34" i="13"/>
  <c r="L34" i="13"/>
  <c r="K34" i="13"/>
  <c r="G34" i="13"/>
  <c r="F34" i="13"/>
  <c r="E34" i="13"/>
  <c r="D34" i="13"/>
  <c r="C34" i="13"/>
  <c r="B34" i="13"/>
  <c r="Y33" i="13"/>
  <c r="X33" i="13"/>
  <c r="W33" i="13"/>
  <c r="V33" i="13"/>
  <c r="U33" i="13"/>
  <c r="T33" i="13"/>
  <c r="P33" i="13"/>
  <c r="O33" i="13"/>
  <c r="N33" i="13"/>
  <c r="M33" i="13"/>
  <c r="L33" i="13"/>
  <c r="K33" i="13"/>
  <c r="G33" i="13"/>
  <c r="F33" i="13"/>
  <c r="E33" i="13"/>
  <c r="D33" i="13"/>
  <c r="C33" i="13"/>
  <c r="B33" i="13"/>
  <c r="Y32" i="13"/>
  <c r="X32" i="13"/>
  <c r="W32" i="13"/>
  <c r="V32" i="13"/>
  <c r="U32" i="13"/>
  <c r="T32" i="13"/>
  <c r="P32" i="13"/>
  <c r="O32" i="13"/>
  <c r="N32" i="13"/>
  <c r="Q32" i="13" s="1"/>
  <c r="M32" i="13"/>
  <c r="L32" i="13"/>
  <c r="R32" i="13" s="1"/>
  <c r="K32" i="13"/>
  <c r="G32" i="13"/>
  <c r="F32" i="13"/>
  <c r="E32" i="13"/>
  <c r="D32" i="13"/>
  <c r="C32" i="13"/>
  <c r="B32" i="13"/>
  <c r="AA31" i="13"/>
  <c r="Y31" i="13"/>
  <c r="X31" i="13"/>
  <c r="W31" i="13"/>
  <c r="Z31" i="13" s="1"/>
  <c r="V31" i="13"/>
  <c r="U31" i="13"/>
  <c r="T31" i="13"/>
  <c r="P31" i="13"/>
  <c r="O31" i="13"/>
  <c r="N31" i="13"/>
  <c r="M31" i="13"/>
  <c r="L31" i="13"/>
  <c r="K31" i="13"/>
  <c r="G31" i="13"/>
  <c r="F31" i="13"/>
  <c r="E31" i="13"/>
  <c r="D31" i="13"/>
  <c r="C31" i="13"/>
  <c r="B31" i="13"/>
  <c r="Y30" i="13"/>
  <c r="X30" i="13"/>
  <c r="W30" i="13"/>
  <c r="V30" i="13"/>
  <c r="U30" i="13"/>
  <c r="T30" i="13"/>
  <c r="P30" i="13"/>
  <c r="O30" i="13"/>
  <c r="N30" i="13"/>
  <c r="Q30" i="13" s="1"/>
  <c r="M30" i="13"/>
  <c r="L30" i="13"/>
  <c r="R30" i="13" s="1"/>
  <c r="K30" i="13"/>
  <c r="G30" i="13"/>
  <c r="F30" i="13"/>
  <c r="E30" i="13"/>
  <c r="D30" i="13"/>
  <c r="C30" i="13"/>
  <c r="B30" i="13"/>
  <c r="AA29" i="13"/>
  <c r="Y29" i="13"/>
  <c r="X29" i="13"/>
  <c r="W29" i="13"/>
  <c r="Z29" i="13" s="1"/>
  <c r="V29" i="13"/>
  <c r="U29" i="13"/>
  <c r="T29" i="13"/>
  <c r="P29" i="13"/>
  <c r="O29" i="13"/>
  <c r="N29" i="13"/>
  <c r="M29" i="13"/>
  <c r="L29" i="13"/>
  <c r="K29" i="13"/>
  <c r="G29" i="13"/>
  <c r="F29" i="13"/>
  <c r="E29" i="13"/>
  <c r="H29" i="13" s="1"/>
  <c r="D29" i="13"/>
  <c r="C29" i="13"/>
  <c r="I29" i="13" s="1"/>
  <c r="B29" i="13"/>
  <c r="Y28" i="13"/>
  <c r="X28" i="13"/>
  <c r="W28" i="13"/>
  <c r="V28" i="13"/>
  <c r="U28" i="13"/>
  <c r="T28" i="13"/>
  <c r="P28" i="13"/>
  <c r="O28" i="13"/>
  <c r="N28" i="13"/>
  <c r="M28" i="13"/>
  <c r="L28" i="13"/>
  <c r="K28" i="13"/>
  <c r="G28" i="13"/>
  <c r="F28" i="13"/>
  <c r="E28" i="13"/>
  <c r="D28" i="13"/>
  <c r="C28" i="13"/>
  <c r="B28" i="13"/>
  <c r="Y27" i="13"/>
  <c r="X27" i="13"/>
  <c r="W27" i="13"/>
  <c r="V27" i="13"/>
  <c r="U27" i="13"/>
  <c r="T27" i="13"/>
  <c r="P27" i="13"/>
  <c r="S27" i="13" s="1"/>
  <c r="O27" i="13"/>
  <c r="N27" i="13"/>
  <c r="Q27" i="13" s="1"/>
  <c r="M27" i="13"/>
  <c r="L27" i="13"/>
  <c r="K27" i="13"/>
  <c r="G27" i="13"/>
  <c r="F27" i="13"/>
  <c r="E27" i="13"/>
  <c r="D27" i="13"/>
  <c r="C27" i="13"/>
  <c r="B27" i="13"/>
  <c r="AB26" i="13"/>
  <c r="Y26" i="13"/>
  <c r="X26" i="13"/>
  <c r="W26" i="13"/>
  <c r="Z26" i="13" s="1"/>
  <c r="V26" i="13"/>
  <c r="U26" i="13"/>
  <c r="T26" i="13"/>
  <c r="P26" i="13"/>
  <c r="O26" i="13"/>
  <c r="N26" i="13"/>
  <c r="M26" i="13"/>
  <c r="L26" i="13"/>
  <c r="K26" i="13"/>
  <c r="G26" i="13"/>
  <c r="F26" i="13"/>
  <c r="E26" i="13"/>
  <c r="D26" i="13"/>
  <c r="C26" i="13"/>
  <c r="B26" i="13"/>
  <c r="AB25" i="13"/>
  <c r="Y25" i="13"/>
  <c r="X25" i="13"/>
  <c r="W25" i="13"/>
  <c r="Z25" i="13" s="1"/>
  <c r="V25" i="13"/>
  <c r="U25" i="13"/>
  <c r="T25" i="13"/>
  <c r="P25" i="13"/>
  <c r="O25" i="13"/>
  <c r="N25" i="13"/>
  <c r="M25" i="13"/>
  <c r="L25" i="13"/>
  <c r="K25" i="13"/>
  <c r="G25" i="13"/>
  <c r="J25" i="13" s="1"/>
  <c r="F25" i="13"/>
  <c r="E25" i="13"/>
  <c r="H25" i="13" s="1"/>
  <c r="D25" i="13"/>
  <c r="C25" i="13"/>
  <c r="B25" i="13"/>
  <c r="Y24" i="13"/>
  <c r="X24" i="13"/>
  <c r="W24" i="13"/>
  <c r="V24" i="13"/>
  <c r="U24" i="13"/>
  <c r="T24" i="13"/>
  <c r="S24" i="13"/>
  <c r="P24" i="13"/>
  <c r="O24" i="13"/>
  <c r="R24" i="13" s="1"/>
  <c r="N24" i="13"/>
  <c r="M24" i="13"/>
  <c r="L24" i="13"/>
  <c r="K24" i="13"/>
  <c r="Q24" i="13" s="1"/>
  <c r="G24" i="13"/>
  <c r="J24" i="13" s="1"/>
  <c r="F24" i="13"/>
  <c r="E24" i="13"/>
  <c r="D24" i="13"/>
  <c r="C24" i="13"/>
  <c r="B24" i="13"/>
  <c r="H24" i="13" s="1"/>
  <c r="Y23" i="13"/>
  <c r="X23" i="13"/>
  <c r="W23" i="13"/>
  <c r="V23" i="13"/>
  <c r="U23" i="13"/>
  <c r="T23" i="13"/>
  <c r="P23" i="13"/>
  <c r="O23" i="13"/>
  <c r="N23" i="13"/>
  <c r="M23" i="13"/>
  <c r="L23" i="13"/>
  <c r="K23" i="13"/>
  <c r="G23" i="13"/>
  <c r="F23" i="13"/>
  <c r="E23" i="13"/>
  <c r="D23" i="13"/>
  <c r="C23" i="13"/>
  <c r="B23" i="13"/>
  <c r="Z22" i="13"/>
  <c r="Y22" i="13"/>
  <c r="X22" i="13"/>
  <c r="W22" i="13"/>
  <c r="V22" i="13"/>
  <c r="AB22" i="13" s="1"/>
  <c r="U22" i="13"/>
  <c r="T22" i="13"/>
  <c r="R22" i="13"/>
  <c r="P22" i="13"/>
  <c r="S22" i="13" s="1"/>
  <c r="O22" i="13"/>
  <c r="N22" i="13"/>
  <c r="Q22" i="13" s="1"/>
  <c r="M22" i="13"/>
  <c r="L22" i="13"/>
  <c r="K22" i="13"/>
  <c r="G22" i="13"/>
  <c r="F22" i="13"/>
  <c r="E22" i="13"/>
  <c r="D22" i="13"/>
  <c r="C22" i="13"/>
  <c r="B22" i="13"/>
  <c r="Y21" i="13"/>
  <c r="X21" i="13"/>
  <c r="W21" i="13"/>
  <c r="V21" i="13"/>
  <c r="U21" i="13"/>
  <c r="T21" i="13"/>
  <c r="S21" i="13"/>
  <c r="P21" i="13"/>
  <c r="O21" i="13"/>
  <c r="R21" i="13" s="1"/>
  <c r="N21" i="13"/>
  <c r="M21" i="13"/>
  <c r="L21" i="13"/>
  <c r="K21" i="13"/>
  <c r="Q21" i="13" s="1"/>
  <c r="G21" i="13"/>
  <c r="J21" i="13" s="1"/>
  <c r="F21" i="13"/>
  <c r="E21" i="13"/>
  <c r="D21" i="13"/>
  <c r="C21" i="13"/>
  <c r="B21" i="13"/>
  <c r="H21" i="13" s="1"/>
  <c r="Y20" i="13"/>
  <c r="X20" i="13"/>
  <c r="W20" i="13"/>
  <c r="V20" i="13"/>
  <c r="U20" i="13"/>
  <c r="T20" i="13"/>
  <c r="P20" i="13"/>
  <c r="O20" i="13"/>
  <c r="N20" i="13"/>
  <c r="M20" i="13"/>
  <c r="L20" i="13"/>
  <c r="K20" i="13"/>
  <c r="G20" i="13"/>
  <c r="F20" i="13"/>
  <c r="E20" i="13"/>
  <c r="D20" i="13"/>
  <c r="C20" i="13"/>
  <c r="B20" i="13"/>
  <c r="Y19" i="13"/>
  <c r="X19" i="13"/>
  <c r="W19" i="13"/>
  <c r="V19" i="13"/>
  <c r="U19" i="13"/>
  <c r="T19" i="13"/>
  <c r="P19" i="13"/>
  <c r="O19" i="13"/>
  <c r="N19" i="13"/>
  <c r="M19" i="13"/>
  <c r="L19" i="13"/>
  <c r="K19" i="13"/>
  <c r="G19" i="13"/>
  <c r="F19" i="13"/>
  <c r="E19" i="13"/>
  <c r="D19" i="13"/>
  <c r="C19" i="13"/>
  <c r="B19" i="13"/>
  <c r="Y18" i="13"/>
  <c r="AB18" i="13" s="1"/>
  <c r="X18" i="13"/>
  <c r="W18" i="13"/>
  <c r="V18" i="13"/>
  <c r="U18" i="13"/>
  <c r="T18" i="13"/>
  <c r="Z18" i="13" s="1"/>
  <c r="P18" i="13"/>
  <c r="S18" i="13" s="1"/>
  <c r="O18" i="13"/>
  <c r="N18" i="13"/>
  <c r="Q18" i="13" s="1"/>
  <c r="M18" i="13"/>
  <c r="L18" i="13"/>
  <c r="R18" i="13" s="1"/>
  <c r="K18" i="13"/>
  <c r="H18" i="13"/>
  <c r="G18" i="13"/>
  <c r="F18" i="13"/>
  <c r="I18" i="13" s="1"/>
  <c r="E18" i="13"/>
  <c r="D18" i="13"/>
  <c r="J18" i="13" s="1"/>
  <c r="C18" i="13"/>
  <c r="B18" i="13"/>
  <c r="Y17" i="13"/>
  <c r="X17" i="13"/>
  <c r="W17" i="13"/>
  <c r="V17" i="13"/>
  <c r="U17" i="13"/>
  <c r="T17" i="13"/>
  <c r="P17" i="13"/>
  <c r="O17" i="13"/>
  <c r="N17" i="13"/>
  <c r="M17" i="13"/>
  <c r="L17" i="13"/>
  <c r="K17" i="13"/>
  <c r="G17" i="13"/>
  <c r="F17" i="13"/>
  <c r="E17" i="13"/>
  <c r="D17" i="13"/>
  <c r="C17" i="13"/>
  <c r="B17" i="13"/>
  <c r="Y16" i="13"/>
  <c r="AB16" i="13" s="1"/>
  <c r="X16" i="13"/>
  <c r="W16" i="13"/>
  <c r="V16" i="13"/>
  <c r="U16" i="13"/>
  <c r="T16" i="13"/>
  <c r="Z16" i="13" s="1"/>
  <c r="P16" i="13"/>
  <c r="S16" i="13" s="1"/>
  <c r="O16" i="13"/>
  <c r="N16" i="13"/>
  <c r="M16" i="13"/>
  <c r="L16" i="13"/>
  <c r="K16" i="13"/>
  <c r="Q16" i="13" s="1"/>
  <c r="G16" i="13"/>
  <c r="J16" i="13" s="1"/>
  <c r="F16" i="13"/>
  <c r="E16" i="13"/>
  <c r="D16" i="13"/>
  <c r="C16" i="13"/>
  <c r="B16" i="13"/>
  <c r="H16" i="13" s="1"/>
  <c r="Y15" i="13"/>
  <c r="AB15" i="13" s="1"/>
  <c r="X15" i="13"/>
  <c r="W15" i="13"/>
  <c r="V15" i="13"/>
  <c r="U15" i="13"/>
  <c r="T15" i="13"/>
  <c r="Z15" i="13" s="1"/>
  <c r="P15" i="13"/>
  <c r="O15" i="13"/>
  <c r="N15" i="13"/>
  <c r="M15" i="13"/>
  <c r="L15" i="13"/>
  <c r="K15" i="13"/>
  <c r="H15" i="13"/>
  <c r="G15" i="13"/>
  <c r="F15" i="13"/>
  <c r="E15" i="13"/>
  <c r="D15" i="13"/>
  <c r="J15" i="13" s="1"/>
  <c r="C15" i="13"/>
  <c r="B15" i="13"/>
  <c r="AA14" i="13"/>
  <c r="Y14" i="13"/>
  <c r="AB14" i="13" s="1"/>
  <c r="X14" i="13"/>
  <c r="W14" i="13"/>
  <c r="Z14" i="13" s="1"/>
  <c r="V14" i="13"/>
  <c r="U14" i="13"/>
  <c r="T14" i="13"/>
  <c r="P14" i="13"/>
  <c r="O14" i="13"/>
  <c r="N14" i="13"/>
  <c r="M14" i="13"/>
  <c r="L14" i="13"/>
  <c r="K14" i="13"/>
  <c r="G14" i="13"/>
  <c r="F14" i="13"/>
  <c r="E14" i="13"/>
  <c r="D14" i="13"/>
  <c r="C14" i="13"/>
  <c r="B14" i="13"/>
  <c r="Y13" i="13"/>
  <c r="X13" i="13"/>
  <c r="W13" i="13"/>
  <c r="V13" i="13"/>
  <c r="U13" i="13"/>
  <c r="T13" i="13"/>
  <c r="P13" i="13"/>
  <c r="O13" i="13"/>
  <c r="N13" i="13"/>
  <c r="M13" i="13"/>
  <c r="L13" i="13"/>
  <c r="K13" i="13"/>
  <c r="G13" i="13"/>
  <c r="F13" i="13"/>
  <c r="E13" i="13"/>
  <c r="D13" i="13"/>
  <c r="C13" i="13"/>
  <c r="B13" i="13"/>
  <c r="Y12" i="13"/>
  <c r="X12" i="13"/>
  <c r="W12" i="13"/>
  <c r="V12" i="13"/>
  <c r="U12" i="13"/>
  <c r="T12" i="13"/>
  <c r="P12" i="13"/>
  <c r="O12" i="13"/>
  <c r="N12" i="13"/>
  <c r="M12" i="13"/>
  <c r="L12" i="13"/>
  <c r="K12" i="13"/>
  <c r="H12" i="13"/>
  <c r="G12" i="13"/>
  <c r="F12" i="13"/>
  <c r="I12" i="13" s="1"/>
  <c r="E12" i="13"/>
  <c r="D12" i="13"/>
  <c r="J12" i="13" s="1"/>
  <c r="C12" i="13"/>
  <c r="B12" i="13"/>
  <c r="Z11" i="13"/>
  <c r="Y11" i="13"/>
  <c r="AB11" i="13" s="1"/>
  <c r="X11" i="13"/>
  <c r="W11" i="13"/>
  <c r="V11" i="13"/>
  <c r="U11" i="13"/>
  <c r="T11" i="13"/>
  <c r="R11" i="13"/>
  <c r="P11" i="13"/>
  <c r="S11" i="13" s="1"/>
  <c r="O11" i="13"/>
  <c r="N11" i="13"/>
  <c r="Q11" i="13" s="1"/>
  <c r="M11" i="13"/>
  <c r="L11" i="13"/>
  <c r="K11" i="13"/>
  <c r="G11" i="13"/>
  <c r="F11" i="13"/>
  <c r="E11" i="13"/>
  <c r="D11" i="13"/>
  <c r="C11" i="13"/>
  <c r="B11" i="13"/>
  <c r="Y10" i="13"/>
  <c r="AB10" i="13" s="1"/>
  <c r="X10" i="13"/>
  <c r="W10" i="13"/>
  <c r="Z10" i="13" s="1"/>
  <c r="V10" i="13"/>
  <c r="U10" i="13"/>
  <c r="T10" i="13"/>
  <c r="P10" i="13"/>
  <c r="S10" i="13" s="1"/>
  <c r="O10" i="13"/>
  <c r="N10" i="13"/>
  <c r="Q10" i="13" s="1"/>
  <c r="M10" i="13"/>
  <c r="L10" i="13"/>
  <c r="K10" i="13"/>
  <c r="G10" i="13"/>
  <c r="F10" i="13"/>
  <c r="E10" i="13"/>
  <c r="D10" i="13"/>
  <c r="C10" i="13"/>
  <c r="B10" i="13"/>
  <c r="Y38" i="12"/>
  <c r="AB38" i="12" s="1"/>
  <c r="W38" i="12"/>
  <c r="Z38" i="12" s="1"/>
  <c r="V38" i="12"/>
  <c r="T38" i="12"/>
  <c r="P38" i="12"/>
  <c r="S38" i="12" s="1"/>
  <c r="N38" i="12"/>
  <c r="Q38" i="12" s="1"/>
  <c r="M38" i="12"/>
  <c r="K38" i="12"/>
  <c r="G38" i="12"/>
  <c r="E38" i="12"/>
  <c r="D38" i="12"/>
  <c r="J38" i="12" s="1"/>
  <c r="B38" i="12"/>
  <c r="H38" i="12" s="1"/>
  <c r="W37" i="12"/>
  <c r="Z37" i="12" s="1"/>
  <c r="T37" i="12"/>
  <c r="N37" i="12"/>
  <c r="K37" i="12"/>
  <c r="Q37" i="12" s="1"/>
  <c r="E37" i="12"/>
  <c r="H37" i="12" s="1"/>
  <c r="B37" i="12"/>
  <c r="Y36" i="12"/>
  <c r="X36" i="12"/>
  <c r="AA36" i="12" s="1"/>
  <c r="W36" i="12"/>
  <c r="V36" i="12"/>
  <c r="AB36" i="12" s="1"/>
  <c r="U36" i="12"/>
  <c r="U38" i="12" s="1"/>
  <c r="T36" i="12"/>
  <c r="Z36" i="12" s="1"/>
  <c r="P36" i="12"/>
  <c r="S36" i="12" s="1"/>
  <c r="O36" i="12"/>
  <c r="O38" i="12" s="1"/>
  <c r="N36" i="12"/>
  <c r="Q36" i="12" s="1"/>
  <c r="M36" i="12"/>
  <c r="L36" i="12"/>
  <c r="R36" i="12" s="1"/>
  <c r="K36" i="12"/>
  <c r="G36" i="12"/>
  <c r="F36" i="12"/>
  <c r="F38" i="12" s="1"/>
  <c r="E36" i="12"/>
  <c r="D36" i="12"/>
  <c r="J36" i="12" s="1"/>
  <c r="C36" i="12"/>
  <c r="C38" i="12" s="1"/>
  <c r="B36" i="12"/>
  <c r="H36" i="12" s="1"/>
  <c r="Y35" i="12"/>
  <c r="X35" i="12"/>
  <c r="W35" i="12"/>
  <c r="V35" i="12"/>
  <c r="U35" i="12"/>
  <c r="T35" i="12"/>
  <c r="P35" i="12"/>
  <c r="O35" i="12"/>
  <c r="N35" i="12"/>
  <c r="M35" i="12"/>
  <c r="L35" i="12"/>
  <c r="K35" i="12"/>
  <c r="G35" i="12"/>
  <c r="F35" i="12"/>
  <c r="E35" i="12"/>
  <c r="D35" i="12"/>
  <c r="C35" i="12"/>
  <c r="B35" i="12"/>
  <c r="Y34" i="12"/>
  <c r="X34" i="12"/>
  <c r="W34" i="12"/>
  <c r="V34" i="12"/>
  <c r="U34" i="12"/>
  <c r="T34" i="12"/>
  <c r="P34" i="12"/>
  <c r="O34" i="12"/>
  <c r="N34" i="12"/>
  <c r="M34" i="12"/>
  <c r="L34" i="12"/>
  <c r="K34" i="12"/>
  <c r="G34" i="12"/>
  <c r="F34" i="12"/>
  <c r="E34" i="12"/>
  <c r="D34" i="12"/>
  <c r="C34" i="12"/>
  <c r="B34" i="12"/>
  <c r="Y33" i="12"/>
  <c r="X33" i="12"/>
  <c r="W33" i="12"/>
  <c r="V33" i="12"/>
  <c r="U33" i="12"/>
  <c r="T33" i="12"/>
  <c r="P33" i="12"/>
  <c r="O33" i="12"/>
  <c r="N33" i="12"/>
  <c r="M33" i="12"/>
  <c r="L33" i="12"/>
  <c r="K33" i="12"/>
  <c r="G33" i="12"/>
  <c r="F33" i="12"/>
  <c r="E33" i="12"/>
  <c r="D33" i="12"/>
  <c r="C33" i="12"/>
  <c r="B33" i="12"/>
  <c r="Y32" i="12"/>
  <c r="X32" i="12"/>
  <c r="AA32" i="12" s="1"/>
  <c r="W32" i="12"/>
  <c r="V32" i="12"/>
  <c r="U32" i="12"/>
  <c r="T32" i="12"/>
  <c r="Z32" i="12" s="1"/>
  <c r="P32" i="12"/>
  <c r="O32" i="12"/>
  <c r="N32" i="12"/>
  <c r="M32" i="12"/>
  <c r="L32" i="12"/>
  <c r="K32" i="12"/>
  <c r="H32" i="12"/>
  <c r="G32" i="12"/>
  <c r="F32" i="12"/>
  <c r="I32" i="12" s="1"/>
  <c r="E32" i="12"/>
  <c r="D32" i="12"/>
  <c r="C32" i="12"/>
  <c r="B32" i="12"/>
  <c r="Y31" i="12"/>
  <c r="X31" i="12"/>
  <c r="W31" i="12"/>
  <c r="V31" i="12"/>
  <c r="U31" i="12"/>
  <c r="T31" i="12"/>
  <c r="P31" i="12"/>
  <c r="O31" i="12"/>
  <c r="R31" i="12" s="1"/>
  <c r="N31" i="12"/>
  <c r="M31" i="12"/>
  <c r="L31" i="12"/>
  <c r="K31" i="12"/>
  <c r="Q31" i="12" s="1"/>
  <c r="G31" i="12"/>
  <c r="F31" i="12"/>
  <c r="I31" i="12" s="1"/>
  <c r="E31" i="12"/>
  <c r="D31" i="12"/>
  <c r="C31" i="12"/>
  <c r="B31" i="12"/>
  <c r="H31" i="12" s="1"/>
  <c r="Y30" i="12"/>
  <c r="X30" i="12"/>
  <c r="AA30" i="12" s="1"/>
  <c r="W30" i="12"/>
  <c r="V30" i="12"/>
  <c r="U30" i="12"/>
  <c r="T30" i="12"/>
  <c r="Z30" i="12" s="1"/>
  <c r="P30" i="12"/>
  <c r="O30" i="12"/>
  <c r="R30" i="12" s="1"/>
  <c r="N30" i="12"/>
  <c r="M30" i="12"/>
  <c r="L30" i="12"/>
  <c r="K30" i="12"/>
  <c r="Q30" i="12" s="1"/>
  <c r="G30" i="12"/>
  <c r="F30" i="12"/>
  <c r="I30" i="12" s="1"/>
  <c r="E30" i="12"/>
  <c r="D30" i="12"/>
  <c r="C30" i="12"/>
  <c r="B30" i="12"/>
  <c r="H30" i="12" s="1"/>
  <c r="Y29" i="12"/>
  <c r="X29" i="12"/>
  <c r="AA29" i="12" s="1"/>
  <c r="W29" i="12"/>
  <c r="V29" i="12"/>
  <c r="U29" i="12"/>
  <c r="T29" i="12"/>
  <c r="Z29" i="12" s="1"/>
  <c r="P29" i="12"/>
  <c r="O29" i="12"/>
  <c r="N29" i="12"/>
  <c r="M29" i="12"/>
  <c r="L29" i="12"/>
  <c r="K29" i="12"/>
  <c r="H29" i="12"/>
  <c r="G29" i="12"/>
  <c r="F29" i="12"/>
  <c r="I29" i="12" s="1"/>
  <c r="E29" i="12"/>
  <c r="D29" i="12"/>
  <c r="C29" i="12"/>
  <c r="B29" i="12"/>
  <c r="Y28" i="12"/>
  <c r="X28" i="12"/>
  <c r="W28" i="12"/>
  <c r="V28" i="12"/>
  <c r="U28" i="12"/>
  <c r="T28" i="12"/>
  <c r="P28" i="12"/>
  <c r="O28" i="12"/>
  <c r="N28" i="12"/>
  <c r="M28" i="12"/>
  <c r="L28" i="12"/>
  <c r="K28" i="12"/>
  <c r="G28" i="12"/>
  <c r="F28" i="12"/>
  <c r="E28" i="12"/>
  <c r="D28" i="12"/>
  <c r="C28" i="12"/>
  <c r="B28" i="12"/>
  <c r="Y27" i="12"/>
  <c r="AB27" i="12" s="1"/>
  <c r="X27" i="12"/>
  <c r="W27" i="12"/>
  <c r="V27" i="12"/>
  <c r="U27" i="12"/>
  <c r="T27" i="12"/>
  <c r="Z27" i="12" s="1"/>
  <c r="P27" i="12"/>
  <c r="S27" i="12" s="1"/>
  <c r="O27" i="12"/>
  <c r="N27" i="12"/>
  <c r="M27" i="12"/>
  <c r="L27" i="12"/>
  <c r="K27" i="12"/>
  <c r="Q27" i="12" s="1"/>
  <c r="G27" i="12"/>
  <c r="J27" i="12" s="1"/>
  <c r="F27" i="12"/>
  <c r="E27" i="12"/>
  <c r="D27" i="12"/>
  <c r="C27" i="12"/>
  <c r="B27" i="12"/>
  <c r="H27" i="12" s="1"/>
  <c r="Y26" i="12"/>
  <c r="AB26" i="12" s="1"/>
  <c r="X26" i="12"/>
  <c r="W26" i="12"/>
  <c r="V26" i="12"/>
  <c r="U26" i="12"/>
  <c r="T26" i="12"/>
  <c r="Z26" i="12" s="1"/>
  <c r="P26" i="12"/>
  <c r="S26" i="12" s="1"/>
  <c r="O26" i="12"/>
  <c r="N26" i="12"/>
  <c r="M26" i="12"/>
  <c r="L26" i="12"/>
  <c r="K26" i="12"/>
  <c r="Q26" i="12" s="1"/>
  <c r="G26" i="12"/>
  <c r="J26" i="12" s="1"/>
  <c r="F26" i="12"/>
  <c r="E26" i="12"/>
  <c r="D26" i="12"/>
  <c r="C26" i="12"/>
  <c r="B26" i="12"/>
  <c r="H26" i="12" s="1"/>
  <c r="Y25" i="12"/>
  <c r="AB25" i="12" s="1"/>
  <c r="X25" i="12"/>
  <c r="W25" i="12"/>
  <c r="V25" i="12"/>
  <c r="U25" i="12"/>
  <c r="T25" i="12"/>
  <c r="Z25" i="12" s="1"/>
  <c r="P25" i="12"/>
  <c r="S25" i="12" s="1"/>
  <c r="O25" i="12"/>
  <c r="N25" i="12"/>
  <c r="M25" i="12"/>
  <c r="L25" i="12"/>
  <c r="K25" i="12"/>
  <c r="Q25" i="12" s="1"/>
  <c r="G25" i="12"/>
  <c r="J25" i="12" s="1"/>
  <c r="F25" i="12"/>
  <c r="E25" i="12"/>
  <c r="D25" i="12"/>
  <c r="C25" i="12"/>
  <c r="B25" i="12"/>
  <c r="H25" i="12" s="1"/>
  <c r="Y24" i="12"/>
  <c r="AB24" i="12" s="1"/>
  <c r="X24" i="12"/>
  <c r="W24" i="12"/>
  <c r="Z24" i="12" s="1"/>
  <c r="V24" i="12"/>
  <c r="U24" i="12"/>
  <c r="AA24" i="12" s="1"/>
  <c r="T24" i="12"/>
  <c r="Q24" i="12"/>
  <c r="P24" i="12"/>
  <c r="O24" i="12"/>
  <c r="R24" i="12" s="1"/>
  <c r="N24" i="12"/>
  <c r="M24" i="12"/>
  <c r="S24" i="12" s="1"/>
  <c r="L24" i="12"/>
  <c r="K24" i="12"/>
  <c r="I24" i="12"/>
  <c r="G24" i="12"/>
  <c r="J24" i="12" s="1"/>
  <c r="F24" i="12"/>
  <c r="E24" i="12"/>
  <c r="H24" i="12" s="1"/>
  <c r="D24" i="12"/>
  <c r="C24" i="12"/>
  <c r="B24" i="12"/>
  <c r="Y23" i="12"/>
  <c r="X23" i="12"/>
  <c r="W23" i="12"/>
  <c r="V23" i="12"/>
  <c r="U23" i="12"/>
  <c r="T23" i="12"/>
  <c r="P23" i="12"/>
  <c r="O23" i="12"/>
  <c r="N23" i="12"/>
  <c r="M23" i="12"/>
  <c r="L23" i="12"/>
  <c r="K23" i="12"/>
  <c r="G23" i="12"/>
  <c r="F23" i="12"/>
  <c r="E23" i="12"/>
  <c r="D23" i="12"/>
  <c r="C23" i="12"/>
  <c r="B23" i="12"/>
  <c r="Z22" i="12"/>
  <c r="Y22" i="12"/>
  <c r="X22" i="12"/>
  <c r="AA22" i="12" s="1"/>
  <c r="W22" i="12"/>
  <c r="V22" i="12"/>
  <c r="AB22" i="12" s="1"/>
  <c r="U22" i="12"/>
  <c r="T22" i="12"/>
  <c r="R22" i="12"/>
  <c r="P22" i="12"/>
  <c r="S22" i="12" s="1"/>
  <c r="O22" i="12"/>
  <c r="N22" i="12"/>
  <c r="Q22" i="12" s="1"/>
  <c r="M22" i="12"/>
  <c r="L22" i="12"/>
  <c r="K22" i="12"/>
  <c r="J22" i="12"/>
  <c r="G22" i="12"/>
  <c r="F22" i="12"/>
  <c r="I22" i="12" s="1"/>
  <c r="E22" i="12"/>
  <c r="D22" i="12"/>
  <c r="C22" i="12"/>
  <c r="B22" i="12"/>
  <c r="H22" i="12" s="1"/>
  <c r="Y21" i="12"/>
  <c r="AB21" i="12" s="1"/>
  <c r="X21" i="12"/>
  <c r="W21" i="12"/>
  <c r="Z21" i="12" s="1"/>
  <c r="V21" i="12"/>
  <c r="U21" i="12"/>
  <c r="AA21" i="12" s="1"/>
  <c r="T21" i="12"/>
  <c r="Q21" i="12"/>
  <c r="P21" i="12"/>
  <c r="O21" i="12"/>
  <c r="R21" i="12" s="1"/>
  <c r="N21" i="12"/>
  <c r="M21" i="12"/>
  <c r="S21" i="12" s="1"/>
  <c r="L21" i="12"/>
  <c r="K21" i="12"/>
  <c r="I21" i="12"/>
  <c r="G21" i="12"/>
  <c r="J21" i="12" s="1"/>
  <c r="F21" i="12"/>
  <c r="E21" i="12"/>
  <c r="H21" i="12" s="1"/>
  <c r="D21" i="12"/>
  <c r="C21" i="12"/>
  <c r="B21" i="12"/>
  <c r="Y20" i="12"/>
  <c r="X20" i="12"/>
  <c r="W20" i="12"/>
  <c r="V20" i="12"/>
  <c r="U20" i="12"/>
  <c r="T20" i="12"/>
  <c r="P20" i="12"/>
  <c r="O20" i="12"/>
  <c r="N20" i="12"/>
  <c r="M20" i="12"/>
  <c r="L20" i="12"/>
  <c r="K20" i="12"/>
  <c r="G20" i="12"/>
  <c r="F20" i="12"/>
  <c r="E20" i="12"/>
  <c r="D20" i="12"/>
  <c r="C20" i="12"/>
  <c r="B20" i="12"/>
  <c r="Y19" i="12"/>
  <c r="X19" i="12"/>
  <c r="W19" i="12"/>
  <c r="V19" i="12"/>
  <c r="U19" i="12"/>
  <c r="T19" i="12"/>
  <c r="P19" i="12"/>
  <c r="O19" i="12"/>
  <c r="N19" i="12"/>
  <c r="M19" i="12"/>
  <c r="L19" i="12"/>
  <c r="K19" i="12"/>
  <c r="G19" i="12"/>
  <c r="F19" i="12"/>
  <c r="E19" i="12"/>
  <c r="D19" i="12"/>
  <c r="C19" i="12"/>
  <c r="B19" i="12"/>
  <c r="AB18" i="12"/>
  <c r="Y18" i="12"/>
  <c r="X18" i="12"/>
  <c r="AA18" i="12" s="1"/>
  <c r="W18" i="12"/>
  <c r="V18" i="12"/>
  <c r="U18" i="12"/>
  <c r="T18" i="12"/>
  <c r="Z18" i="12" s="1"/>
  <c r="P18" i="12"/>
  <c r="S18" i="12" s="1"/>
  <c r="O18" i="12"/>
  <c r="N18" i="12"/>
  <c r="Q18" i="12" s="1"/>
  <c r="M18" i="12"/>
  <c r="L18" i="12"/>
  <c r="R18" i="12" s="1"/>
  <c r="K18" i="12"/>
  <c r="H18" i="12"/>
  <c r="G18" i="12"/>
  <c r="F18" i="12"/>
  <c r="I18" i="12" s="1"/>
  <c r="E18" i="12"/>
  <c r="D18" i="12"/>
  <c r="J18" i="12" s="1"/>
  <c r="C18" i="12"/>
  <c r="B18" i="12"/>
  <c r="Y17" i="12"/>
  <c r="X17" i="12"/>
  <c r="W17" i="12"/>
  <c r="V17" i="12"/>
  <c r="U17" i="12"/>
  <c r="T17" i="12"/>
  <c r="P17" i="12"/>
  <c r="O17" i="12"/>
  <c r="N17" i="12"/>
  <c r="M17" i="12"/>
  <c r="L17" i="12"/>
  <c r="K17" i="12"/>
  <c r="G17" i="12"/>
  <c r="F17" i="12"/>
  <c r="E17" i="12"/>
  <c r="D17" i="12"/>
  <c r="C17" i="12"/>
  <c r="B17" i="12"/>
  <c r="Y16" i="12"/>
  <c r="AB16" i="12" s="1"/>
  <c r="X16" i="12"/>
  <c r="W16" i="12"/>
  <c r="V16" i="12"/>
  <c r="U16" i="12"/>
  <c r="T16" i="12"/>
  <c r="Z16" i="12" s="1"/>
  <c r="P16" i="12"/>
  <c r="S16" i="12" s="1"/>
  <c r="O16" i="12"/>
  <c r="N16" i="12"/>
  <c r="M16" i="12"/>
  <c r="L16" i="12"/>
  <c r="K16" i="12"/>
  <c r="Q16" i="12" s="1"/>
  <c r="G16" i="12"/>
  <c r="J16" i="12" s="1"/>
  <c r="F16" i="12"/>
  <c r="E16" i="12"/>
  <c r="D16" i="12"/>
  <c r="C16" i="12"/>
  <c r="B16" i="12"/>
  <c r="H16" i="12" s="1"/>
  <c r="Y15" i="12"/>
  <c r="AB15" i="12" s="1"/>
  <c r="X15" i="12"/>
  <c r="W15" i="12"/>
  <c r="V15" i="12"/>
  <c r="U15" i="12"/>
  <c r="T15" i="12"/>
  <c r="Z15" i="12" s="1"/>
  <c r="P15" i="12"/>
  <c r="S15" i="12" s="1"/>
  <c r="O15" i="12"/>
  <c r="N15" i="12"/>
  <c r="M15" i="12"/>
  <c r="L15" i="12"/>
  <c r="K15" i="12"/>
  <c r="Q15" i="12" s="1"/>
  <c r="G15" i="12"/>
  <c r="J15" i="12" s="1"/>
  <c r="F15" i="12"/>
  <c r="E15" i="12"/>
  <c r="D15" i="12"/>
  <c r="C15" i="12"/>
  <c r="B15" i="12"/>
  <c r="H15" i="12" s="1"/>
  <c r="Y14" i="12"/>
  <c r="X14" i="12"/>
  <c r="W14" i="12"/>
  <c r="V14" i="12"/>
  <c r="U14" i="12"/>
  <c r="T14" i="12"/>
  <c r="R14" i="12"/>
  <c r="P14" i="12"/>
  <c r="S14" i="12" s="1"/>
  <c r="O14" i="12"/>
  <c r="N14" i="12"/>
  <c r="Q14" i="12" s="1"/>
  <c r="M14" i="12"/>
  <c r="L14" i="12"/>
  <c r="K14" i="12"/>
  <c r="J14" i="12"/>
  <c r="G14" i="12"/>
  <c r="F14" i="12"/>
  <c r="I14" i="12" s="1"/>
  <c r="E14" i="12"/>
  <c r="D14" i="12"/>
  <c r="C14" i="12"/>
  <c r="B14" i="12"/>
  <c r="H14" i="12" s="1"/>
  <c r="Y13" i="12"/>
  <c r="X13" i="12"/>
  <c r="W13" i="12"/>
  <c r="V13" i="12"/>
  <c r="U13" i="12"/>
  <c r="T13" i="12"/>
  <c r="P13" i="12"/>
  <c r="O13" i="12"/>
  <c r="N13" i="12"/>
  <c r="M13" i="12"/>
  <c r="L13" i="12"/>
  <c r="K13" i="12"/>
  <c r="G13" i="12"/>
  <c r="F13" i="12"/>
  <c r="E13" i="12"/>
  <c r="D13" i="12"/>
  <c r="C13" i="12"/>
  <c r="B13" i="12"/>
  <c r="Z12" i="12"/>
  <c r="Y12" i="12"/>
  <c r="X12" i="12"/>
  <c r="AA12" i="12" s="1"/>
  <c r="W12" i="12"/>
  <c r="V12" i="12"/>
  <c r="U12" i="12"/>
  <c r="T12" i="12"/>
  <c r="Q12" i="12"/>
  <c r="P12" i="12"/>
  <c r="S12" i="12" s="1"/>
  <c r="O12" i="12"/>
  <c r="N12" i="12"/>
  <c r="M12" i="12"/>
  <c r="L12" i="12"/>
  <c r="K12" i="12"/>
  <c r="I12" i="12"/>
  <c r="G12" i="12"/>
  <c r="J12" i="12" s="1"/>
  <c r="F12" i="12"/>
  <c r="E12" i="12"/>
  <c r="H12" i="12" s="1"/>
  <c r="D12" i="12"/>
  <c r="C12" i="12"/>
  <c r="B12" i="12"/>
  <c r="AB11" i="12"/>
  <c r="Y11" i="12"/>
  <c r="X11" i="12"/>
  <c r="AA11" i="12" s="1"/>
  <c r="W11" i="12"/>
  <c r="V11" i="12"/>
  <c r="U11" i="12"/>
  <c r="T11" i="12"/>
  <c r="Z11" i="12" s="1"/>
  <c r="P11" i="12"/>
  <c r="S11" i="12" s="1"/>
  <c r="O11" i="12"/>
  <c r="N11" i="12"/>
  <c r="Q11" i="12" s="1"/>
  <c r="M11" i="12"/>
  <c r="L11" i="12"/>
  <c r="R11" i="12" s="1"/>
  <c r="K11" i="12"/>
  <c r="H11" i="12"/>
  <c r="G11" i="12"/>
  <c r="F11" i="12"/>
  <c r="I11" i="12" s="1"/>
  <c r="E11" i="12"/>
  <c r="D11" i="12"/>
  <c r="J11" i="12" s="1"/>
  <c r="C11" i="12"/>
  <c r="B11" i="12"/>
  <c r="Z10" i="12"/>
  <c r="Y10" i="12"/>
  <c r="AB10" i="12" s="1"/>
  <c r="X10" i="12"/>
  <c r="W10" i="12"/>
  <c r="V10" i="12"/>
  <c r="U10" i="12"/>
  <c r="T10" i="12"/>
  <c r="Q10" i="12"/>
  <c r="P10" i="12"/>
  <c r="S10" i="12" s="1"/>
  <c r="O10" i="12"/>
  <c r="N10" i="12"/>
  <c r="M10" i="12"/>
  <c r="L10" i="12"/>
  <c r="K10" i="12"/>
  <c r="H10" i="12"/>
  <c r="G10" i="12"/>
  <c r="J10" i="12" s="1"/>
  <c r="F10" i="12"/>
  <c r="E10" i="12"/>
  <c r="D10" i="12"/>
  <c r="C10" i="12"/>
  <c r="B10" i="12"/>
  <c r="I38" i="12" l="1"/>
  <c r="L38" i="12"/>
  <c r="R38" i="12" s="1"/>
  <c r="X38" i="12"/>
  <c r="AA38" i="12" s="1"/>
  <c r="I36" i="12"/>
  <c r="K14" i="11" l="1"/>
  <c r="H18" i="11" l="1"/>
  <c r="Y24" i="11" l="1"/>
  <c r="X24" i="11"/>
  <c r="W24" i="11"/>
  <c r="V24" i="11"/>
  <c r="U24" i="11"/>
  <c r="T24" i="11"/>
  <c r="S24" i="11"/>
  <c r="R24" i="11"/>
  <c r="O24" i="11"/>
  <c r="M24" i="11"/>
  <c r="F24" i="11"/>
  <c r="E24" i="11"/>
  <c r="D24" i="11"/>
  <c r="C24" i="11"/>
  <c r="B24" i="11"/>
  <c r="Q23" i="11"/>
  <c r="L23" i="11"/>
  <c r="J23" i="11"/>
  <c r="Q22" i="11"/>
  <c r="L22" i="11"/>
  <c r="J22" i="11"/>
  <c r="Q21" i="11"/>
  <c r="L21" i="11"/>
  <c r="J21" i="11"/>
  <c r="Q20" i="11"/>
  <c r="K20" i="11"/>
  <c r="L20" i="11" s="1"/>
  <c r="J20" i="11"/>
  <c r="Q19" i="11"/>
  <c r="L19" i="11"/>
  <c r="J19" i="11"/>
  <c r="Q18" i="11"/>
  <c r="L18" i="11"/>
  <c r="J18" i="11"/>
  <c r="Q17" i="11"/>
  <c r="L17" i="11"/>
  <c r="J17" i="11"/>
  <c r="Q16" i="11"/>
  <c r="L16" i="11"/>
  <c r="J16" i="11"/>
  <c r="Q15" i="11"/>
  <c r="L15" i="11"/>
  <c r="J15" i="11"/>
  <c r="Q14" i="11"/>
  <c r="L14" i="11"/>
  <c r="J14" i="11"/>
  <c r="Q13" i="11"/>
  <c r="L13" i="11"/>
  <c r="J13" i="11"/>
  <c r="Q12" i="11"/>
  <c r="L12" i="11"/>
  <c r="J12" i="11"/>
  <c r="Q11" i="11"/>
  <c r="H11" i="11"/>
  <c r="H24" i="11" s="1"/>
  <c r="Q10" i="11"/>
  <c r="L10" i="11"/>
  <c r="J10" i="11"/>
  <c r="Q9" i="11"/>
  <c r="L9" i="11"/>
  <c r="J9" i="11"/>
  <c r="Q8" i="11"/>
  <c r="L8" i="11"/>
  <c r="J8" i="11"/>
  <c r="Q24" i="11" l="1"/>
  <c r="K24" i="11"/>
  <c r="J24" i="11"/>
  <c r="J11" i="11"/>
  <c r="L11" i="11"/>
  <c r="L24" i="11" s="1"/>
  <c r="Q41" i="9"/>
  <c r="P41" i="9"/>
  <c r="J40" i="9"/>
  <c r="Q40" i="9" s="1"/>
  <c r="P40" i="9"/>
  <c r="Q9" i="9" l="1"/>
  <c r="P9" i="9"/>
  <c r="J9" i="9"/>
  <c r="I9" i="9"/>
  <c r="J32" i="9" l="1"/>
  <c r="I32" i="9"/>
  <c r="J31" i="9" l="1"/>
  <c r="I31" i="9"/>
  <c r="J30" i="9"/>
  <c r="I30" i="9"/>
  <c r="J29" i="9"/>
  <c r="I29" i="9"/>
  <c r="J28" i="9" l="1"/>
  <c r="I28" i="9"/>
  <c r="J27" i="9"/>
  <c r="I27" i="9"/>
  <c r="J26" i="9"/>
  <c r="I26" i="9"/>
  <c r="J25" i="9"/>
  <c r="I25" i="9"/>
  <c r="J24" i="9"/>
  <c r="I24" i="9"/>
  <c r="J23" i="9" l="1"/>
  <c r="I23" i="9"/>
  <c r="J22" i="9"/>
  <c r="I22" i="9"/>
  <c r="J21" i="9"/>
  <c r="I21" i="9"/>
  <c r="J20" i="9" l="1"/>
  <c r="I20" i="9"/>
  <c r="J19" i="9"/>
  <c r="I19" i="9"/>
  <c r="J18" i="9"/>
  <c r="I18" i="9"/>
  <c r="J17" i="9" l="1"/>
  <c r="I17" i="9"/>
  <c r="J16" i="9"/>
  <c r="I16" i="9"/>
  <c r="J15" i="9"/>
  <c r="I15" i="9"/>
  <c r="J14" i="9" l="1"/>
  <c r="I14" i="9"/>
  <c r="J13" i="9" l="1"/>
  <c r="Q13" i="9" s="1"/>
  <c r="I13" i="9"/>
  <c r="P12" i="9"/>
  <c r="Q12" i="9"/>
  <c r="P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Q11" i="9"/>
  <c r="P11" i="9"/>
  <c r="J12" i="9"/>
  <c r="I12" i="9"/>
  <c r="J11" i="9" l="1"/>
  <c r="I11" i="9"/>
  <c r="O185" i="9" l="1"/>
  <c r="N185" i="9"/>
  <c r="F185" i="9"/>
  <c r="F189" i="9" s="1"/>
  <c r="E185" i="9"/>
  <c r="E189" i="9" s="1"/>
  <c r="D185" i="9"/>
  <c r="L185" i="9" s="1"/>
  <c r="C185" i="9"/>
  <c r="K185" i="9" s="1"/>
  <c r="O184" i="9"/>
  <c r="N184" i="9"/>
  <c r="M184" i="9"/>
  <c r="L184" i="9"/>
  <c r="K184" i="9"/>
  <c r="O183" i="9"/>
  <c r="N183" i="9"/>
  <c r="M183" i="9"/>
  <c r="L183" i="9"/>
  <c r="K183" i="9"/>
  <c r="O182" i="9"/>
  <c r="N182" i="9"/>
  <c r="M182" i="9"/>
  <c r="L182" i="9"/>
  <c r="K182" i="9"/>
  <c r="O181" i="9"/>
  <c r="N181" i="9"/>
  <c r="M181" i="9"/>
  <c r="L181" i="9"/>
  <c r="K181" i="9"/>
  <c r="O180" i="9"/>
  <c r="N180" i="9"/>
  <c r="M180" i="9"/>
  <c r="L180" i="9"/>
  <c r="K180" i="9"/>
  <c r="O179" i="9"/>
  <c r="N179" i="9"/>
  <c r="M179" i="9"/>
  <c r="L179" i="9"/>
  <c r="K179" i="9"/>
  <c r="O178" i="9"/>
  <c r="N178" i="9"/>
  <c r="M178" i="9"/>
  <c r="L178" i="9"/>
  <c r="K178" i="9"/>
  <c r="O177" i="9"/>
  <c r="N177" i="9"/>
  <c r="M177" i="9"/>
  <c r="L177" i="9"/>
  <c r="K177" i="9"/>
  <c r="O176" i="9"/>
  <c r="N176" i="9"/>
  <c r="M176" i="9"/>
  <c r="L176" i="9"/>
  <c r="K176" i="9"/>
  <c r="O175" i="9"/>
  <c r="N175" i="9"/>
  <c r="M175" i="9"/>
  <c r="L175" i="9"/>
  <c r="K175" i="9"/>
  <c r="O174" i="9"/>
  <c r="N174" i="9"/>
  <c r="M174" i="9"/>
  <c r="L174" i="9"/>
  <c r="K174" i="9"/>
  <c r="O173" i="9"/>
  <c r="N173" i="9"/>
  <c r="M173" i="9"/>
  <c r="L173" i="9"/>
  <c r="K173" i="9"/>
  <c r="O172" i="9"/>
  <c r="N172" i="9"/>
  <c r="M172" i="9"/>
  <c r="L172" i="9"/>
  <c r="K172" i="9"/>
  <c r="O171" i="9"/>
  <c r="N171" i="9"/>
  <c r="M171" i="9"/>
  <c r="L171" i="9"/>
  <c r="K171" i="9"/>
  <c r="O170" i="9"/>
  <c r="N170" i="9"/>
  <c r="M170" i="9"/>
  <c r="L170" i="9"/>
  <c r="K170" i="9"/>
  <c r="O169" i="9"/>
  <c r="N169" i="9"/>
  <c r="M169" i="9"/>
  <c r="L169" i="9"/>
  <c r="K169" i="9"/>
  <c r="O168" i="9"/>
  <c r="N168" i="9"/>
  <c r="M168" i="9"/>
  <c r="L168" i="9"/>
  <c r="K168" i="9"/>
  <c r="O167" i="9"/>
  <c r="N167" i="9"/>
  <c r="M167" i="9"/>
  <c r="L167" i="9"/>
  <c r="K167" i="9"/>
  <c r="O166" i="9"/>
  <c r="N166" i="9"/>
  <c r="M166" i="9"/>
  <c r="L166" i="9"/>
  <c r="K166" i="9"/>
  <c r="O165" i="9"/>
  <c r="N165" i="9"/>
  <c r="M165" i="9"/>
  <c r="L165" i="9"/>
  <c r="K165" i="9"/>
  <c r="O164" i="9"/>
  <c r="N164" i="9"/>
  <c r="M164" i="9"/>
  <c r="L164" i="9"/>
  <c r="K164" i="9"/>
  <c r="O163" i="9"/>
  <c r="N163" i="9"/>
  <c r="M163" i="9"/>
  <c r="L163" i="9"/>
  <c r="K163" i="9"/>
  <c r="O162" i="9"/>
  <c r="N162" i="9"/>
  <c r="M162" i="9"/>
  <c r="L162" i="9"/>
  <c r="K162" i="9"/>
  <c r="O161" i="9"/>
  <c r="N161" i="9"/>
  <c r="M161" i="9"/>
  <c r="L161" i="9"/>
  <c r="K161" i="9"/>
  <c r="O160" i="9"/>
  <c r="N160" i="9"/>
  <c r="M160" i="9"/>
  <c r="L160" i="9"/>
  <c r="K160" i="9"/>
  <c r="O159" i="9"/>
  <c r="N159" i="9"/>
  <c r="M159" i="9"/>
  <c r="L159" i="9"/>
  <c r="K159" i="9"/>
  <c r="O158" i="9"/>
  <c r="N158" i="9"/>
  <c r="M158" i="9"/>
  <c r="L158" i="9"/>
  <c r="K158" i="9"/>
  <c r="O157" i="9"/>
  <c r="N157" i="9"/>
  <c r="M157" i="9"/>
  <c r="L157" i="9"/>
  <c r="K157" i="9"/>
  <c r="O156" i="9"/>
  <c r="N156" i="9"/>
  <c r="M156" i="9"/>
  <c r="L156" i="9"/>
  <c r="K156" i="9"/>
  <c r="O155" i="9"/>
  <c r="N155" i="9"/>
  <c r="M155" i="9"/>
  <c r="L155" i="9"/>
  <c r="K155" i="9"/>
  <c r="O154" i="9"/>
  <c r="N154" i="9"/>
  <c r="M154" i="9"/>
  <c r="L154" i="9"/>
  <c r="K154" i="9"/>
  <c r="O153" i="9"/>
  <c r="N153" i="9"/>
  <c r="M153" i="9"/>
  <c r="L153" i="9"/>
  <c r="K153" i="9"/>
  <c r="O152" i="9"/>
  <c r="N152" i="9"/>
  <c r="M152" i="9"/>
  <c r="L152" i="9"/>
  <c r="K152" i="9"/>
  <c r="O151" i="9"/>
  <c r="N151" i="9"/>
  <c r="M151" i="9"/>
  <c r="L151" i="9"/>
  <c r="K151" i="9"/>
  <c r="O150" i="9"/>
  <c r="N150" i="9"/>
  <c r="M150" i="9"/>
  <c r="L150" i="9"/>
  <c r="K150" i="9"/>
  <c r="O149" i="9"/>
  <c r="N149" i="9"/>
  <c r="M149" i="9"/>
  <c r="L149" i="9"/>
  <c r="K149" i="9"/>
  <c r="O148" i="9"/>
  <c r="N148" i="9"/>
  <c r="M148" i="9"/>
  <c r="L148" i="9"/>
  <c r="K148" i="9"/>
  <c r="O147" i="9"/>
  <c r="N147" i="9"/>
  <c r="M147" i="9"/>
  <c r="L147" i="9"/>
  <c r="K147" i="9"/>
  <c r="O146" i="9"/>
  <c r="N146" i="9"/>
  <c r="M146" i="9"/>
  <c r="L146" i="9"/>
  <c r="K146" i="9"/>
  <c r="O145" i="9"/>
  <c r="N145" i="9"/>
  <c r="M145" i="9"/>
  <c r="L145" i="9"/>
  <c r="K145" i="9"/>
  <c r="O144" i="9"/>
  <c r="N144" i="9"/>
  <c r="M144" i="9"/>
  <c r="L144" i="9"/>
  <c r="K144" i="9"/>
  <c r="O143" i="9"/>
  <c r="N143" i="9"/>
  <c r="M143" i="9"/>
  <c r="L143" i="9"/>
  <c r="K143" i="9"/>
  <c r="O142" i="9"/>
  <c r="N142" i="9"/>
  <c r="M142" i="9"/>
  <c r="L142" i="9"/>
  <c r="K142" i="9"/>
  <c r="O141" i="9"/>
  <c r="N141" i="9"/>
  <c r="M141" i="9"/>
  <c r="L141" i="9"/>
  <c r="K141" i="9"/>
  <c r="O140" i="9"/>
  <c r="N140" i="9"/>
  <c r="M140" i="9"/>
  <c r="L140" i="9"/>
  <c r="K140" i="9"/>
  <c r="O139" i="9"/>
  <c r="N139" i="9"/>
  <c r="M139" i="9"/>
  <c r="L139" i="9"/>
  <c r="K139" i="9"/>
  <c r="O138" i="9"/>
  <c r="N138" i="9"/>
  <c r="M138" i="9"/>
  <c r="L138" i="9"/>
  <c r="K138" i="9"/>
  <c r="O137" i="9"/>
  <c r="N137" i="9"/>
  <c r="M137" i="9"/>
  <c r="L137" i="9"/>
  <c r="K137" i="9"/>
  <c r="O136" i="9"/>
  <c r="N136" i="9"/>
  <c r="M136" i="9"/>
  <c r="L136" i="9"/>
  <c r="K136" i="9"/>
  <c r="O135" i="9"/>
  <c r="N135" i="9"/>
  <c r="M135" i="9"/>
  <c r="L135" i="9"/>
  <c r="K135" i="9"/>
  <c r="O134" i="9"/>
  <c r="N134" i="9"/>
  <c r="M134" i="9"/>
  <c r="L134" i="9"/>
  <c r="K134" i="9"/>
  <c r="O133" i="9"/>
  <c r="N133" i="9"/>
  <c r="M133" i="9"/>
  <c r="L133" i="9"/>
  <c r="K133" i="9"/>
  <c r="O132" i="9"/>
  <c r="N132" i="9"/>
  <c r="M132" i="9"/>
  <c r="L132" i="9"/>
  <c r="K132" i="9"/>
  <c r="O131" i="9"/>
  <c r="N131" i="9"/>
  <c r="M131" i="9"/>
  <c r="L131" i="9"/>
  <c r="K131" i="9"/>
  <c r="O130" i="9"/>
  <c r="N130" i="9"/>
  <c r="M130" i="9"/>
  <c r="L130" i="9"/>
  <c r="K130" i="9"/>
  <c r="O129" i="9"/>
  <c r="N129" i="9"/>
  <c r="M129" i="9"/>
  <c r="L129" i="9"/>
  <c r="K129" i="9"/>
  <c r="O128" i="9"/>
  <c r="N128" i="9"/>
  <c r="M128" i="9"/>
  <c r="L128" i="9"/>
  <c r="K128" i="9"/>
  <c r="O127" i="9"/>
  <c r="N127" i="9"/>
  <c r="M127" i="9"/>
  <c r="L127" i="9"/>
  <c r="K127" i="9"/>
  <c r="O126" i="9"/>
  <c r="N126" i="9"/>
  <c r="M126" i="9"/>
  <c r="L126" i="9"/>
  <c r="K126" i="9"/>
  <c r="O125" i="9"/>
  <c r="N125" i="9"/>
  <c r="M125" i="9"/>
  <c r="L125" i="9"/>
  <c r="K125" i="9"/>
  <c r="O124" i="9"/>
  <c r="N124" i="9"/>
  <c r="M124" i="9"/>
  <c r="L124" i="9"/>
  <c r="K124" i="9"/>
  <c r="O123" i="9"/>
  <c r="N123" i="9"/>
  <c r="M123" i="9"/>
  <c r="L123" i="9"/>
  <c r="K123" i="9"/>
  <c r="O122" i="9"/>
  <c r="N122" i="9"/>
  <c r="M122" i="9"/>
  <c r="L122" i="9"/>
  <c r="K122" i="9"/>
  <c r="O121" i="9"/>
  <c r="N121" i="9"/>
  <c r="M121" i="9"/>
  <c r="L121" i="9"/>
  <c r="K121" i="9"/>
  <c r="O120" i="9"/>
  <c r="N120" i="9"/>
  <c r="M120" i="9"/>
  <c r="L120" i="9"/>
  <c r="K120" i="9"/>
  <c r="O119" i="9"/>
  <c r="N119" i="9"/>
  <c r="M119" i="9"/>
  <c r="L119" i="9"/>
  <c r="K119" i="9"/>
  <c r="O118" i="9"/>
  <c r="N118" i="9"/>
  <c r="M118" i="9"/>
  <c r="L118" i="9"/>
  <c r="K118" i="9"/>
  <c r="O117" i="9"/>
  <c r="N117" i="9"/>
  <c r="M117" i="9"/>
  <c r="L117" i="9"/>
  <c r="K117" i="9"/>
  <c r="O116" i="9"/>
  <c r="N116" i="9"/>
  <c r="M116" i="9"/>
  <c r="L116" i="9"/>
  <c r="K116" i="9"/>
  <c r="O115" i="9"/>
  <c r="N115" i="9"/>
  <c r="M115" i="9"/>
  <c r="L115" i="9"/>
  <c r="K115" i="9"/>
  <c r="O114" i="9"/>
  <c r="N114" i="9"/>
  <c r="M114" i="9"/>
  <c r="L114" i="9"/>
  <c r="K114" i="9"/>
  <c r="O113" i="9"/>
  <c r="N113" i="9"/>
  <c r="M113" i="9"/>
  <c r="L113" i="9"/>
  <c r="K113" i="9"/>
  <c r="O112" i="9"/>
  <c r="N112" i="9"/>
  <c r="M112" i="9"/>
  <c r="L112" i="9"/>
  <c r="K112" i="9"/>
  <c r="O111" i="9"/>
  <c r="N111" i="9"/>
  <c r="M111" i="9"/>
  <c r="L111" i="9"/>
  <c r="K111" i="9"/>
  <c r="O110" i="9"/>
  <c r="N110" i="9"/>
  <c r="M110" i="9"/>
  <c r="L110" i="9"/>
  <c r="K110" i="9"/>
  <c r="O109" i="9"/>
  <c r="N109" i="9"/>
  <c r="M109" i="9"/>
  <c r="L109" i="9"/>
  <c r="K109" i="9"/>
  <c r="O108" i="9"/>
  <c r="N108" i="9"/>
  <c r="M108" i="9"/>
  <c r="L108" i="9"/>
  <c r="K108" i="9"/>
  <c r="O107" i="9"/>
  <c r="N107" i="9"/>
  <c r="M107" i="9"/>
  <c r="L107" i="9"/>
  <c r="K107" i="9"/>
  <c r="O106" i="9"/>
  <c r="N106" i="9"/>
  <c r="M106" i="9"/>
  <c r="L106" i="9"/>
  <c r="K106" i="9"/>
  <c r="O105" i="9"/>
  <c r="N105" i="9"/>
  <c r="M105" i="9"/>
  <c r="L105" i="9"/>
  <c r="K105" i="9"/>
  <c r="O104" i="9"/>
  <c r="N104" i="9"/>
  <c r="M104" i="9"/>
  <c r="L104" i="9"/>
  <c r="K104" i="9"/>
  <c r="O103" i="9"/>
  <c r="N103" i="9"/>
  <c r="M103" i="9"/>
  <c r="L103" i="9"/>
  <c r="K103" i="9"/>
  <c r="O102" i="9"/>
  <c r="N102" i="9"/>
  <c r="M102" i="9"/>
  <c r="L102" i="9"/>
  <c r="K102" i="9"/>
  <c r="O101" i="9"/>
  <c r="N101" i="9"/>
  <c r="M101" i="9"/>
  <c r="L101" i="9"/>
  <c r="K101" i="9"/>
  <c r="O100" i="9"/>
  <c r="N100" i="9"/>
  <c r="M100" i="9"/>
  <c r="L100" i="9"/>
  <c r="K100" i="9"/>
  <c r="O99" i="9"/>
  <c r="N99" i="9"/>
  <c r="M99" i="9"/>
  <c r="L99" i="9"/>
  <c r="K99" i="9"/>
  <c r="O98" i="9"/>
  <c r="N98" i="9"/>
  <c r="M98" i="9"/>
  <c r="L98" i="9"/>
  <c r="K98" i="9"/>
  <c r="O97" i="9"/>
  <c r="N97" i="9"/>
  <c r="M97" i="9"/>
  <c r="L97" i="9"/>
  <c r="K97" i="9"/>
  <c r="O96" i="9"/>
  <c r="N96" i="9"/>
  <c r="M96" i="9"/>
  <c r="L96" i="9"/>
  <c r="K96" i="9"/>
  <c r="O95" i="9"/>
  <c r="N95" i="9"/>
  <c r="M95" i="9"/>
  <c r="L95" i="9"/>
  <c r="K95" i="9"/>
  <c r="O94" i="9"/>
  <c r="N94" i="9"/>
  <c r="M94" i="9"/>
  <c r="L94" i="9"/>
  <c r="K94" i="9"/>
  <c r="O93" i="9"/>
  <c r="N93" i="9"/>
  <c r="M93" i="9"/>
  <c r="L93" i="9"/>
  <c r="K93" i="9"/>
  <c r="O92" i="9"/>
  <c r="N92" i="9"/>
  <c r="M92" i="9"/>
  <c r="L92" i="9"/>
  <c r="K92" i="9"/>
  <c r="O91" i="9"/>
  <c r="N91" i="9"/>
  <c r="M91" i="9"/>
  <c r="L91" i="9"/>
  <c r="K91" i="9"/>
  <c r="O90" i="9"/>
  <c r="N90" i="9"/>
  <c r="M90" i="9"/>
  <c r="L90" i="9"/>
  <c r="K90" i="9"/>
  <c r="O89" i="9"/>
  <c r="N89" i="9"/>
  <c r="M89" i="9"/>
  <c r="L89" i="9"/>
  <c r="K89" i="9"/>
  <c r="O88" i="9"/>
  <c r="N88" i="9"/>
  <c r="M88" i="9"/>
  <c r="L88" i="9"/>
  <c r="K88" i="9"/>
  <c r="O87" i="9"/>
  <c r="N87" i="9"/>
  <c r="M87" i="9"/>
  <c r="L87" i="9"/>
  <c r="K87" i="9"/>
  <c r="O86" i="9"/>
  <c r="N86" i="9"/>
  <c r="M86" i="9"/>
  <c r="L86" i="9"/>
  <c r="K86" i="9"/>
  <c r="O85" i="9"/>
  <c r="N85" i="9"/>
  <c r="M85" i="9"/>
  <c r="L85" i="9"/>
  <c r="K85" i="9"/>
  <c r="O84" i="9"/>
  <c r="N84" i="9"/>
  <c r="M84" i="9"/>
  <c r="L84" i="9"/>
  <c r="K84" i="9"/>
  <c r="O83" i="9"/>
  <c r="N83" i="9"/>
  <c r="M83" i="9"/>
  <c r="L83" i="9"/>
  <c r="K83" i="9"/>
  <c r="O82" i="9"/>
  <c r="N82" i="9"/>
  <c r="M82" i="9"/>
  <c r="L82" i="9"/>
  <c r="K82" i="9"/>
  <c r="O81" i="9"/>
  <c r="N81" i="9"/>
  <c r="M81" i="9"/>
  <c r="L81" i="9"/>
  <c r="K81" i="9"/>
  <c r="O80" i="9"/>
  <c r="N80" i="9"/>
  <c r="M80" i="9"/>
  <c r="L80" i="9"/>
  <c r="K80" i="9"/>
  <c r="O79" i="9"/>
  <c r="N79" i="9"/>
  <c r="M79" i="9"/>
  <c r="L79" i="9"/>
  <c r="K79" i="9"/>
  <c r="O78" i="9"/>
  <c r="N78" i="9"/>
  <c r="M78" i="9"/>
  <c r="L78" i="9"/>
  <c r="K78" i="9"/>
  <c r="O77" i="9"/>
  <c r="N77" i="9"/>
  <c r="M77" i="9"/>
  <c r="L77" i="9"/>
  <c r="K77" i="9"/>
  <c r="O76" i="9"/>
  <c r="N76" i="9"/>
  <c r="M76" i="9"/>
  <c r="L76" i="9"/>
  <c r="K76" i="9"/>
  <c r="O75" i="9"/>
  <c r="N75" i="9"/>
  <c r="M75" i="9"/>
  <c r="L75" i="9"/>
  <c r="K75" i="9"/>
  <c r="O74" i="9"/>
  <c r="N74" i="9"/>
  <c r="M74" i="9"/>
  <c r="L74" i="9"/>
  <c r="K74" i="9"/>
  <c r="O73" i="9"/>
  <c r="N73" i="9"/>
  <c r="M73" i="9"/>
  <c r="L73" i="9"/>
  <c r="K73" i="9"/>
  <c r="O72" i="9"/>
  <c r="N72" i="9"/>
  <c r="M72" i="9"/>
  <c r="L72" i="9"/>
  <c r="K72" i="9"/>
  <c r="O71" i="9"/>
  <c r="N71" i="9"/>
  <c r="M71" i="9"/>
  <c r="L71" i="9"/>
  <c r="K71" i="9"/>
  <c r="O70" i="9"/>
  <c r="N70" i="9"/>
  <c r="M70" i="9"/>
  <c r="L70" i="9"/>
  <c r="K70" i="9"/>
  <c r="O69" i="9"/>
  <c r="N69" i="9"/>
  <c r="M69" i="9"/>
  <c r="L69" i="9"/>
  <c r="K69" i="9"/>
  <c r="O68" i="9"/>
  <c r="N68" i="9"/>
  <c r="M68" i="9"/>
  <c r="L68" i="9"/>
  <c r="K68" i="9"/>
  <c r="O67" i="9"/>
  <c r="N67" i="9"/>
  <c r="M67" i="9"/>
  <c r="L67" i="9"/>
  <c r="K67" i="9"/>
  <c r="O66" i="9"/>
  <c r="N66" i="9"/>
  <c r="M66" i="9"/>
  <c r="L66" i="9"/>
  <c r="K66" i="9"/>
  <c r="O65" i="9"/>
  <c r="N65" i="9"/>
  <c r="M65" i="9"/>
  <c r="L65" i="9"/>
  <c r="K65" i="9"/>
  <c r="O64" i="9"/>
  <c r="N64" i="9"/>
  <c r="M64" i="9"/>
  <c r="L64" i="9"/>
  <c r="K64" i="9"/>
  <c r="O63" i="9"/>
  <c r="N63" i="9"/>
  <c r="M63" i="9"/>
  <c r="L63" i="9"/>
  <c r="K63" i="9"/>
  <c r="O62" i="9"/>
  <c r="N62" i="9"/>
  <c r="M62" i="9"/>
  <c r="L62" i="9"/>
  <c r="K62" i="9"/>
  <c r="O61" i="9"/>
  <c r="N61" i="9"/>
  <c r="M61" i="9"/>
  <c r="L61" i="9"/>
  <c r="K61" i="9"/>
  <c r="O60" i="9"/>
  <c r="N60" i="9"/>
  <c r="M60" i="9"/>
  <c r="L60" i="9"/>
  <c r="K60" i="9"/>
  <c r="O59" i="9"/>
  <c r="N59" i="9"/>
  <c r="M59" i="9"/>
  <c r="L59" i="9"/>
  <c r="K59" i="9"/>
  <c r="O58" i="9"/>
  <c r="N58" i="9"/>
  <c r="M58" i="9"/>
  <c r="L58" i="9"/>
  <c r="K58" i="9"/>
  <c r="O57" i="9"/>
  <c r="N57" i="9"/>
  <c r="M57" i="9"/>
  <c r="L57" i="9"/>
  <c r="K57" i="9"/>
  <c r="O56" i="9"/>
  <c r="N56" i="9"/>
  <c r="M56" i="9"/>
  <c r="L56" i="9"/>
  <c r="K56" i="9"/>
  <c r="O55" i="9"/>
  <c r="N55" i="9"/>
  <c r="M55" i="9"/>
  <c r="L55" i="9"/>
  <c r="K55" i="9"/>
  <c r="O54" i="9"/>
  <c r="N54" i="9"/>
  <c r="M54" i="9"/>
  <c r="L54" i="9"/>
  <c r="K54" i="9"/>
  <c r="O53" i="9"/>
  <c r="N53" i="9"/>
  <c r="M53" i="9"/>
  <c r="L53" i="9"/>
  <c r="K53" i="9"/>
  <c r="O52" i="9"/>
  <c r="N52" i="9"/>
  <c r="M52" i="9"/>
  <c r="L52" i="9"/>
  <c r="K52" i="9"/>
  <c r="O51" i="9"/>
  <c r="N51" i="9"/>
  <c r="M51" i="9"/>
  <c r="L51" i="9"/>
  <c r="K51" i="9"/>
  <c r="O50" i="9"/>
  <c r="N50" i="9"/>
  <c r="M50" i="9"/>
  <c r="L50" i="9"/>
  <c r="K50" i="9"/>
  <c r="O49" i="9"/>
  <c r="N49" i="9"/>
  <c r="M49" i="9"/>
  <c r="L49" i="9"/>
  <c r="K49" i="9"/>
  <c r="O48" i="9"/>
  <c r="N48" i="9"/>
  <c r="M48" i="9"/>
  <c r="L48" i="9"/>
  <c r="K48" i="9"/>
  <c r="O47" i="9"/>
  <c r="N47" i="9"/>
  <c r="M47" i="9"/>
  <c r="L47" i="9"/>
  <c r="K47" i="9"/>
  <c r="O46" i="9"/>
  <c r="N46" i="9"/>
  <c r="M46" i="9"/>
  <c r="L46" i="9"/>
  <c r="K46" i="9"/>
  <c r="O45" i="9"/>
  <c r="N45" i="9"/>
  <c r="M45" i="9"/>
  <c r="L45" i="9"/>
  <c r="K45" i="9"/>
  <c r="O44" i="9"/>
  <c r="N44" i="9"/>
  <c r="M44" i="9"/>
  <c r="L44" i="9"/>
  <c r="K44" i="9"/>
  <c r="O43" i="9"/>
  <c r="N43" i="9"/>
  <c r="M43" i="9"/>
  <c r="L43" i="9"/>
  <c r="K43" i="9"/>
  <c r="O42" i="9"/>
  <c r="N42" i="9"/>
  <c r="M42" i="9"/>
  <c r="L42" i="9"/>
  <c r="K42" i="9"/>
  <c r="O41" i="9"/>
  <c r="N41" i="9"/>
  <c r="M41" i="9"/>
  <c r="L41" i="9"/>
  <c r="K41" i="9"/>
  <c r="O40" i="9"/>
  <c r="N40" i="9"/>
  <c r="M40" i="9"/>
  <c r="L40" i="9"/>
  <c r="K40" i="9"/>
  <c r="O38" i="9"/>
  <c r="N38" i="9"/>
  <c r="M38" i="9"/>
  <c r="L38" i="9"/>
  <c r="K38" i="9"/>
  <c r="O36" i="9"/>
  <c r="N36" i="9"/>
  <c r="M36" i="9"/>
  <c r="L36" i="9"/>
  <c r="K36" i="9"/>
  <c r="O34" i="9"/>
  <c r="N34" i="9"/>
  <c r="M34" i="9"/>
  <c r="L34" i="9"/>
  <c r="K34" i="9"/>
  <c r="O32" i="9"/>
  <c r="N32" i="9"/>
  <c r="M32" i="9"/>
  <c r="L32" i="9"/>
  <c r="K32" i="9"/>
  <c r="O31" i="9"/>
  <c r="N31" i="9"/>
  <c r="M31" i="9"/>
  <c r="L31" i="9"/>
  <c r="K31" i="9"/>
  <c r="O30" i="9"/>
  <c r="N30" i="9"/>
  <c r="M30" i="9"/>
  <c r="L30" i="9"/>
  <c r="K30" i="9"/>
  <c r="O29" i="9"/>
  <c r="N29" i="9"/>
  <c r="M29" i="9"/>
  <c r="L29" i="9"/>
  <c r="K29" i="9"/>
  <c r="O28" i="9"/>
  <c r="N28" i="9"/>
  <c r="M28" i="9"/>
  <c r="L28" i="9"/>
  <c r="K28" i="9"/>
  <c r="O27" i="9"/>
  <c r="N27" i="9"/>
  <c r="M27" i="9"/>
  <c r="L27" i="9"/>
  <c r="K27" i="9"/>
  <c r="O26" i="9"/>
  <c r="N26" i="9"/>
  <c r="M26" i="9"/>
  <c r="L26" i="9"/>
  <c r="K26" i="9"/>
  <c r="O25" i="9"/>
  <c r="N25" i="9"/>
  <c r="M25" i="9"/>
  <c r="L25" i="9"/>
  <c r="K25" i="9"/>
  <c r="O24" i="9"/>
  <c r="N24" i="9"/>
  <c r="M24" i="9"/>
  <c r="L24" i="9"/>
  <c r="K24" i="9"/>
  <c r="O23" i="9"/>
  <c r="N23" i="9"/>
  <c r="M23" i="9"/>
  <c r="L23" i="9"/>
  <c r="K23" i="9"/>
  <c r="O22" i="9"/>
  <c r="N22" i="9"/>
  <c r="M22" i="9"/>
  <c r="L22" i="9"/>
  <c r="K22" i="9"/>
  <c r="O21" i="9"/>
  <c r="N21" i="9"/>
  <c r="M21" i="9"/>
  <c r="L21" i="9"/>
  <c r="K21" i="9"/>
  <c r="O20" i="9"/>
  <c r="N20" i="9"/>
  <c r="M20" i="9"/>
  <c r="L20" i="9"/>
  <c r="K20" i="9"/>
  <c r="O19" i="9"/>
  <c r="N19" i="9"/>
  <c r="M19" i="9"/>
  <c r="L19" i="9"/>
  <c r="K19" i="9"/>
  <c r="O18" i="9"/>
  <c r="N18" i="9"/>
  <c r="M18" i="9"/>
  <c r="L18" i="9"/>
  <c r="K18" i="9"/>
  <c r="O17" i="9"/>
  <c r="N17" i="9"/>
  <c r="M17" i="9"/>
  <c r="L17" i="9"/>
  <c r="K17" i="9"/>
  <c r="O16" i="9"/>
  <c r="N16" i="9"/>
  <c r="M16" i="9"/>
  <c r="L16" i="9"/>
  <c r="K16" i="9"/>
  <c r="O15" i="9"/>
  <c r="N15" i="9"/>
  <c r="M15" i="9"/>
  <c r="L15" i="9"/>
  <c r="K15" i="9"/>
  <c r="O14" i="9"/>
  <c r="N14" i="9"/>
  <c r="M14" i="9"/>
  <c r="L14" i="9"/>
  <c r="K14" i="9"/>
  <c r="O13" i="9"/>
  <c r="N13" i="9"/>
  <c r="M13" i="9"/>
  <c r="L13" i="9"/>
  <c r="K13" i="9"/>
  <c r="O12" i="9"/>
  <c r="N12" i="9"/>
  <c r="M12" i="9"/>
  <c r="L12" i="9"/>
  <c r="K12" i="9"/>
  <c r="O11" i="9"/>
  <c r="N11" i="9"/>
  <c r="M11" i="9"/>
  <c r="L11" i="9"/>
  <c r="K11" i="9"/>
  <c r="O9" i="9"/>
  <c r="N9" i="9"/>
  <c r="M9" i="9"/>
  <c r="L9" i="9"/>
  <c r="K9" i="9"/>
  <c r="C189" i="9" l="1"/>
  <c r="M185" i="9"/>
  <c r="D189" i="9"/>
  <c r="M142" i="1"/>
  <c r="X142" i="1"/>
  <c r="J143" i="1"/>
  <c r="X143" i="1" s="1"/>
  <c r="I36" i="4" l="1"/>
  <c r="I35" i="4"/>
  <c r="E6" i="7" l="1"/>
  <c r="P27" i="5"/>
  <c r="M30" i="1" l="1"/>
  <c r="AI126" i="1" l="1"/>
  <c r="AH126" i="1"/>
  <c r="AG126" i="1"/>
  <c r="AF126" i="1"/>
  <c r="AE126" i="1"/>
  <c r="AD126" i="1"/>
  <c r="AI124" i="1"/>
  <c r="AF124" i="1"/>
  <c r="AE124" i="1"/>
  <c r="AD124" i="1"/>
  <c r="AG122" i="1"/>
  <c r="AF122" i="1"/>
  <c r="AE122" i="1"/>
  <c r="AD122" i="1"/>
  <c r="AE121" i="1"/>
  <c r="AD121" i="1"/>
  <c r="AE120" i="1"/>
  <c r="AD120" i="1"/>
  <c r="AI119" i="1"/>
  <c r="AH119" i="1"/>
  <c r="AG119" i="1"/>
  <c r="AF119" i="1"/>
  <c r="AE119" i="1"/>
  <c r="AD119" i="1"/>
  <c r="AL19" i="1"/>
  <c r="U11" i="8" l="1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10" i="8"/>
  <c r="S45" i="8"/>
  <c r="R45" i="8"/>
  <c r="Q45" i="8"/>
  <c r="P45" i="8"/>
  <c r="O45" i="8"/>
  <c r="N45" i="8"/>
  <c r="S44" i="8"/>
  <c r="R44" i="8"/>
  <c r="Q44" i="8"/>
  <c r="P44" i="8"/>
  <c r="O44" i="8"/>
  <c r="N44" i="8"/>
  <c r="S43" i="8"/>
  <c r="R43" i="8"/>
  <c r="Q43" i="8"/>
  <c r="P43" i="8"/>
  <c r="O43" i="8"/>
  <c r="N43" i="8"/>
  <c r="N11" i="8"/>
  <c r="O11" i="8"/>
  <c r="P11" i="8"/>
  <c r="Q11" i="8"/>
  <c r="R11" i="8"/>
  <c r="S11" i="8"/>
  <c r="N12" i="8"/>
  <c r="O12" i="8"/>
  <c r="P12" i="8"/>
  <c r="Q12" i="8"/>
  <c r="R12" i="8"/>
  <c r="S12" i="8"/>
  <c r="N13" i="8"/>
  <c r="O13" i="8"/>
  <c r="P13" i="8"/>
  <c r="Q13" i="8"/>
  <c r="R13" i="8"/>
  <c r="S13" i="8"/>
  <c r="N14" i="8"/>
  <c r="O14" i="8"/>
  <c r="P14" i="8"/>
  <c r="Q14" i="8"/>
  <c r="R14" i="8"/>
  <c r="S14" i="8"/>
  <c r="N15" i="8"/>
  <c r="O15" i="8"/>
  <c r="P15" i="8"/>
  <c r="Q15" i="8"/>
  <c r="R15" i="8"/>
  <c r="S15" i="8"/>
  <c r="N16" i="8"/>
  <c r="O16" i="8"/>
  <c r="P16" i="8"/>
  <c r="Q16" i="8"/>
  <c r="R16" i="8"/>
  <c r="S16" i="8"/>
  <c r="N17" i="8"/>
  <c r="O17" i="8"/>
  <c r="P17" i="8"/>
  <c r="Q17" i="8"/>
  <c r="R17" i="8"/>
  <c r="S17" i="8"/>
  <c r="N18" i="8"/>
  <c r="O18" i="8"/>
  <c r="P18" i="8"/>
  <c r="Q18" i="8"/>
  <c r="R18" i="8"/>
  <c r="S18" i="8"/>
  <c r="N19" i="8"/>
  <c r="O19" i="8"/>
  <c r="P19" i="8"/>
  <c r="Q19" i="8"/>
  <c r="R19" i="8"/>
  <c r="S19" i="8"/>
  <c r="N20" i="8"/>
  <c r="O20" i="8"/>
  <c r="P20" i="8"/>
  <c r="Q20" i="8"/>
  <c r="R20" i="8"/>
  <c r="S20" i="8"/>
  <c r="N21" i="8"/>
  <c r="O21" i="8"/>
  <c r="P21" i="8"/>
  <c r="Q21" i="8"/>
  <c r="R21" i="8"/>
  <c r="S21" i="8"/>
  <c r="N22" i="8"/>
  <c r="O22" i="8"/>
  <c r="P22" i="8"/>
  <c r="Q22" i="8"/>
  <c r="R22" i="8"/>
  <c r="S22" i="8"/>
  <c r="N23" i="8"/>
  <c r="O23" i="8"/>
  <c r="P23" i="8"/>
  <c r="Q23" i="8"/>
  <c r="R23" i="8"/>
  <c r="S23" i="8"/>
  <c r="N24" i="8"/>
  <c r="O24" i="8"/>
  <c r="P24" i="8"/>
  <c r="Q24" i="8"/>
  <c r="R24" i="8"/>
  <c r="S24" i="8"/>
  <c r="N25" i="8"/>
  <c r="O25" i="8"/>
  <c r="P25" i="8"/>
  <c r="Q25" i="8"/>
  <c r="R25" i="8"/>
  <c r="S25" i="8"/>
  <c r="N26" i="8"/>
  <c r="O26" i="8"/>
  <c r="P26" i="8"/>
  <c r="Q26" i="8"/>
  <c r="R26" i="8"/>
  <c r="S26" i="8"/>
  <c r="N27" i="8"/>
  <c r="O27" i="8"/>
  <c r="P27" i="8"/>
  <c r="Q27" i="8"/>
  <c r="R27" i="8"/>
  <c r="S27" i="8"/>
  <c r="N28" i="8"/>
  <c r="O28" i="8"/>
  <c r="P28" i="8"/>
  <c r="Q28" i="8"/>
  <c r="R28" i="8"/>
  <c r="S28" i="8"/>
  <c r="N29" i="8"/>
  <c r="O29" i="8"/>
  <c r="P29" i="8"/>
  <c r="Q29" i="8"/>
  <c r="R29" i="8"/>
  <c r="S29" i="8"/>
  <c r="N30" i="8"/>
  <c r="O30" i="8"/>
  <c r="P30" i="8"/>
  <c r="Q30" i="8"/>
  <c r="R30" i="8"/>
  <c r="S30" i="8"/>
  <c r="N31" i="8"/>
  <c r="O31" i="8"/>
  <c r="P31" i="8"/>
  <c r="Q31" i="8"/>
  <c r="R31" i="8"/>
  <c r="S31" i="8"/>
  <c r="N32" i="8"/>
  <c r="O32" i="8"/>
  <c r="P32" i="8"/>
  <c r="Q32" i="8"/>
  <c r="R32" i="8"/>
  <c r="S32" i="8"/>
  <c r="N33" i="8"/>
  <c r="O33" i="8"/>
  <c r="P33" i="8"/>
  <c r="Q33" i="8"/>
  <c r="R33" i="8"/>
  <c r="S33" i="8"/>
  <c r="N34" i="8"/>
  <c r="O34" i="8"/>
  <c r="P34" i="8"/>
  <c r="Q34" i="8"/>
  <c r="R34" i="8"/>
  <c r="S34" i="8"/>
  <c r="N35" i="8"/>
  <c r="O35" i="8"/>
  <c r="P35" i="8"/>
  <c r="Q35" i="8"/>
  <c r="R35" i="8"/>
  <c r="S35" i="8"/>
  <c r="N36" i="8"/>
  <c r="O36" i="8"/>
  <c r="P36" i="8"/>
  <c r="Q36" i="8"/>
  <c r="R36" i="8"/>
  <c r="S36" i="8"/>
  <c r="N37" i="8"/>
  <c r="O37" i="8"/>
  <c r="P37" i="8"/>
  <c r="Q37" i="8"/>
  <c r="R37" i="8"/>
  <c r="S37" i="8"/>
  <c r="N38" i="8"/>
  <c r="O38" i="8"/>
  <c r="P38" i="8"/>
  <c r="Q38" i="8"/>
  <c r="R38" i="8"/>
  <c r="S38" i="8"/>
  <c r="O39" i="8"/>
  <c r="Q39" i="8"/>
  <c r="R39" i="8"/>
  <c r="S39" i="8"/>
  <c r="O40" i="8"/>
  <c r="Q40" i="8"/>
  <c r="R40" i="8"/>
  <c r="S40" i="8"/>
  <c r="O41" i="8"/>
  <c r="Q41" i="8"/>
  <c r="R41" i="8"/>
  <c r="S41" i="8"/>
  <c r="O42" i="8"/>
  <c r="Q42" i="8"/>
  <c r="R42" i="8"/>
  <c r="S42" i="8"/>
  <c r="O10" i="8"/>
  <c r="P10" i="8"/>
  <c r="Q10" i="8"/>
  <c r="R10" i="8"/>
  <c r="S10" i="8"/>
  <c r="N10" i="8"/>
  <c r="D8" i="7" l="1"/>
  <c r="F8" i="7" s="1"/>
  <c r="D7" i="7"/>
  <c r="F7" i="7" s="1"/>
  <c r="D6" i="7"/>
  <c r="D5" i="7"/>
  <c r="F5" i="7" s="1"/>
  <c r="D9" i="7"/>
  <c r="E7" i="7" s="1"/>
  <c r="F6" i="7"/>
  <c r="G6" i="7"/>
  <c r="C9" i="7"/>
  <c r="C6" i="7"/>
  <c r="C7" i="7"/>
  <c r="C8" i="7"/>
  <c r="C5" i="7"/>
  <c r="T11" i="5"/>
  <c r="T10" i="5"/>
  <c r="AJ12" i="1"/>
  <c r="AJ11" i="1"/>
  <c r="G7" i="7" l="1"/>
  <c r="F9" i="7"/>
  <c r="E5" i="7"/>
  <c r="G5" i="7" s="1"/>
  <c r="E9" i="7"/>
  <c r="G9" i="7" s="1"/>
  <c r="E8" i="7"/>
  <c r="G8" i="7" s="1"/>
  <c r="I33" i="5" l="1"/>
  <c r="O33" i="5" s="1"/>
  <c r="J33" i="5"/>
  <c r="P33" i="5" s="1"/>
  <c r="K33" i="5"/>
  <c r="Q33" i="5" s="1"/>
  <c r="L33" i="5"/>
  <c r="R33" i="5" s="1"/>
  <c r="M33" i="5"/>
  <c r="S33" i="5" s="1"/>
  <c r="H33" i="5"/>
  <c r="I26" i="5"/>
  <c r="O26" i="5" s="1"/>
  <c r="J26" i="5"/>
  <c r="P26" i="5" s="1"/>
  <c r="K26" i="5"/>
  <c r="Q26" i="5" s="1"/>
  <c r="L26" i="5"/>
  <c r="R26" i="5" s="1"/>
  <c r="M26" i="5"/>
  <c r="S26" i="5" s="1"/>
  <c r="I27" i="5"/>
  <c r="O27" i="5" s="1"/>
  <c r="J27" i="5"/>
  <c r="K27" i="5"/>
  <c r="Q27" i="5" s="1"/>
  <c r="L27" i="5"/>
  <c r="R27" i="5" s="1"/>
  <c r="M27" i="5"/>
  <c r="S27" i="5" s="1"/>
  <c r="I28" i="5"/>
  <c r="O28" i="5" s="1"/>
  <c r="J28" i="5"/>
  <c r="P28" i="5" s="1"/>
  <c r="K28" i="5"/>
  <c r="Q28" i="5" s="1"/>
  <c r="L28" i="5"/>
  <c r="R28" i="5" s="1"/>
  <c r="M28" i="5"/>
  <c r="I29" i="5"/>
  <c r="O29" i="5" s="1"/>
  <c r="J29" i="5"/>
  <c r="P29" i="5" s="1"/>
  <c r="K29" i="5"/>
  <c r="Q29" i="5" s="1"/>
  <c r="L29" i="5"/>
  <c r="R29" i="5" s="1"/>
  <c r="M29" i="5"/>
  <c r="S29" i="5" s="1"/>
  <c r="I30" i="5"/>
  <c r="O30" i="5" s="1"/>
  <c r="J30" i="5"/>
  <c r="P30" i="5" s="1"/>
  <c r="K30" i="5"/>
  <c r="Q30" i="5" s="1"/>
  <c r="L30" i="5"/>
  <c r="R30" i="5" s="1"/>
  <c r="M30" i="5"/>
  <c r="S30" i="5" s="1"/>
  <c r="I31" i="5"/>
  <c r="O31" i="5" s="1"/>
  <c r="J31" i="5"/>
  <c r="K31" i="5"/>
  <c r="Q31" i="5" s="1"/>
  <c r="L31" i="5"/>
  <c r="R31" i="5" s="1"/>
  <c r="M31" i="5"/>
  <c r="S31" i="5" s="1"/>
  <c r="I32" i="5"/>
  <c r="O32" i="5" s="1"/>
  <c r="J32" i="5"/>
  <c r="P32" i="5" s="1"/>
  <c r="K32" i="5"/>
  <c r="Q32" i="5" s="1"/>
  <c r="L32" i="5"/>
  <c r="R32" i="5" s="1"/>
  <c r="M32" i="5"/>
  <c r="H32" i="5"/>
  <c r="N32" i="5" s="1"/>
  <c r="H31" i="5"/>
  <c r="N31" i="5" s="1"/>
  <c r="H28" i="5"/>
  <c r="N28" i="5" s="1"/>
  <c r="H29" i="5"/>
  <c r="N29" i="5" s="1"/>
  <c r="H30" i="5"/>
  <c r="H27" i="5"/>
  <c r="N27" i="5" s="1"/>
  <c r="H26" i="5"/>
  <c r="N26" i="5" s="1"/>
  <c r="I11" i="5"/>
  <c r="O11" i="5" s="1"/>
  <c r="J11" i="5"/>
  <c r="K11" i="5"/>
  <c r="Q11" i="5" s="1"/>
  <c r="L11" i="5"/>
  <c r="R11" i="5" s="1"/>
  <c r="M11" i="5"/>
  <c r="S11" i="5" s="1"/>
  <c r="I12" i="5"/>
  <c r="J12" i="5"/>
  <c r="P12" i="5" s="1"/>
  <c r="K12" i="5"/>
  <c r="Q12" i="5" s="1"/>
  <c r="L12" i="5"/>
  <c r="R12" i="5" s="1"/>
  <c r="M12" i="5"/>
  <c r="S12" i="5" s="1"/>
  <c r="I13" i="5"/>
  <c r="O13" i="5" s="1"/>
  <c r="J13" i="5"/>
  <c r="P13" i="5" s="1"/>
  <c r="K13" i="5"/>
  <c r="Q13" i="5" s="1"/>
  <c r="L13" i="5"/>
  <c r="M13" i="5"/>
  <c r="S13" i="5" s="1"/>
  <c r="I14" i="5"/>
  <c r="O14" i="5" s="1"/>
  <c r="J14" i="5"/>
  <c r="P14" i="5" s="1"/>
  <c r="K14" i="5"/>
  <c r="Q14" i="5" s="1"/>
  <c r="L14" i="5"/>
  <c r="R14" i="5" s="1"/>
  <c r="M14" i="5"/>
  <c r="S14" i="5" s="1"/>
  <c r="I15" i="5"/>
  <c r="O15" i="5" s="1"/>
  <c r="J15" i="5"/>
  <c r="K15" i="5"/>
  <c r="Q15" i="5" s="1"/>
  <c r="L15" i="5"/>
  <c r="R15" i="5" s="1"/>
  <c r="M15" i="5"/>
  <c r="S15" i="5" s="1"/>
  <c r="I16" i="5"/>
  <c r="J16" i="5"/>
  <c r="P16" i="5" s="1"/>
  <c r="K16" i="5"/>
  <c r="Q16" i="5" s="1"/>
  <c r="L16" i="5"/>
  <c r="R16" i="5" s="1"/>
  <c r="M16" i="5"/>
  <c r="S16" i="5" s="1"/>
  <c r="I17" i="5"/>
  <c r="O17" i="5" s="1"/>
  <c r="J17" i="5"/>
  <c r="P17" i="5" s="1"/>
  <c r="K17" i="5"/>
  <c r="Q17" i="5" s="1"/>
  <c r="L17" i="5"/>
  <c r="M17" i="5"/>
  <c r="S17" i="5" s="1"/>
  <c r="I18" i="5"/>
  <c r="O18" i="5" s="1"/>
  <c r="J18" i="5"/>
  <c r="K18" i="5"/>
  <c r="L18" i="5"/>
  <c r="R18" i="5" s="1"/>
  <c r="M18" i="5"/>
  <c r="S18" i="5" s="1"/>
  <c r="I19" i="5"/>
  <c r="O19" i="5" s="1"/>
  <c r="J19" i="5"/>
  <c r="K19" i="5"/>
  <c r="Q19" i="5" s="1"/>
  <c r="L19" i="5"/>
  <c r="R19" i="5" s="1"/>
  <c r="M19" i="5"/>
  <c r="S19" i="5" s="1"/>
  <c r="I20" i="5"/>
  <c r="O20" i="5" s="1"/>
  <c r="J20" i="5"/>
  <c r="P20" i="5" s="1"/>
  <c r="K20" i="5"/>
  <c r="Q20" i="5" s="1"/>
  <c r="L20" i="5"/>
  <c r="R20" i="5" s="1"/>
  <c r="M20" i="5"/>
  <c r="I21" i="5"/>
  <c r="O21" i="5" s="1"/>
  <c r="J21" i="5"/>
  <c r="P21" i="5" s="1"/>
  <c r="K21" i="5"/>
  <c r="Q21" i="5" s="1"/>
  <c r="L21" i="5"/>
  <c r="R21" i="5" s="1"/>
  <c r="M21" i="5"/>
  <c r="S21" i="5" s="1"/>
  <c r="I22" i="5"/>
  <c r="O22" i="5" s="1"/>
  <c r="J22" i="5"/>
  <c r="K22" i="5"/>
  <c r="L22" i="5"/>
  <c r="R22" i="5" s="1"/>
  <c r="M22" i="5"/>
  <c r="S22" i="5" s="1"/>
  <c r="I23" i="5"/>
  <c r="O23" i="5" s="1"/>
  <c r="J23" i="5"/>
  <c r="K23" i="5"/>
  <c r="Q23" i="5" s="1"/>
  <c r="L23" i="5"/>
  <c r="R23" i="5" s="1"/>
  <c r="M23" i="5"/>
  <c r="S23" i="5" s="1"/>
  <c r="I24" i="5"/>
  <c r="O24" i="5" s="1"/>
  <c r="J24" i="5"/>
  <c r="P24" i="5" s="1"/>
  <c r="K24" i="5"/>
  <c r="Q24" i="5" s="1"/>
  <c r="L24" i="5"/>
  <c r="R24" i="5" s="1"/>
  <c r="M24" i="5"/>
  <c r="I25" i="5"/>
  <c r="O25" i="5" s="1"/>
  <c r="J25" i="5"/>
  <c r="P25" i="5" s="1"/>
  <c r="K25" i="5"/>
  <c r="Q25" i="5" s="1"/>
  <c r="L25" i="5"/>
  <c r="R25" i="5" s="1"/>
  <c r="M25" i="5"/>
  <c r="S25" i="5" s="1"/>
  <c r="H22" i="5"/>
  <c r="N22" i="5" s="1"/>
  <c r="H23" i="5"/>
  <c r="H24" i="5"/>
  <c r="N24" i="5" s="1"/>
  <c r="H25" i="5"/>
  <c r="N25" i="5" s="1"/>
  <c r="H21" i="5"/>
  <c r="N21" i="5" s="1"/>
  <c r="H20" i="5"/>
  <c r="H19" i="5"/>
  <c r="N19" i="5" s="1"/>
  <c r="H18" i="5"/>
  <c r="N18" i="5" s="1"/>
  <c r="H17" i="5"/>
  <c r="N17" i="5" s="1"/>
  <c r="H16" i="5"/>
  <c r="H15" i="5"/>
  <c r="N15" i="5" s="1"/>
  <c r="H14" i="5"/>
  <c r="N14" i="5" s="1"/>
  <c r="H13" i="5"/>
  <c r="N13" i="5" s="1"/>
  <c r="H12" i="5"/>
  <c r="H11" i="5"/>
  <c r="N11" i="5" s="1"/>
  <c r="I10" i="5"/>
  <c r="O10" i="5" s="1"/>
  <c r="J10" i="5"/>
  <c r="K10" i="5"/>
  <c r="Q10" i="5" s="1"/>
  <c r="L10" i="5"/>
  <c r="M10" i="5"/>
  <c r="S10" i="5" s="1"/>
  <c r="H10" i="5"/>
  <c r="N33" i="5"/>
  <c r="S32" i="5"/>
  <c r="P31" i="5"/>
  <c r="N30" i="5"/>
  <c r="S28" i="5"/>
  <c r="S24" i="5"/>
  <c r="P23" i="5"/>
  <c r="N23" i="5"/>
  <c r="Q22" i="5"/>
  <c r="S20" i="5"/>
  <c r="P19" i="5"/>
  <c r="Q18" i="5"/>
  <c r="P18" i="5"/>
  <c r="R17" i="5"/>
  <c r="O16" i="5"/>
  <c r="N16" i="5"/>
  <c r="P15" i="5"/>
  <c r="R13" i="5"/>
  <c r="O12" i="5"/>
  <c r="N12" i="5"/>
  <c r="P11" i="5"/>
  <c r="R10" i="5"/>
  <c r="N10" i="5" l="1"/>
  <c r="U10" i="5"/>
  <c r="V10" i="5" s="1"/>
  <c r="P10" i="5"/>
  <c r="U11" i="5"/>
  <c r="V11" i="5" s="1"/>
  <c r="P22" i="5"/>
  <c r="N20" i="5"/>
  <c r="P11" i="2" l="1"/>
  <c r="Q11" i="2"/>
  <c r="R11" i="2"/>
  <c r="P12" i="2"/>
  <c r="R12" i="2" s="1"/>
  <c r="Q12" i="2"/>
  <c r="P13" i="2"/>
  <c r="Q13" i="2"/>
  <c r="R13" i="2" s="1"/>
  <c r="P14" i="2"/>
  <c r="Q14" i="2"/>
  <c r="R14" i="2"/>
  <c r="P15" i="2"/>
  <c r="Q15" i="2"/>
  <c r="R15" i="2"/>
  <c r="P16" i="2"/>
  <c r="R16" i="2" s="1"/>
  <c r="Q16" i="2"/>
  <c r="P17" i="2"/>
  <c r="Q17" i="2"/>
  <c r="R17" i="2" s="1"/>
  <c r="P18" i="2"/>
  <c r="Q18" i="2"/>
  <c r="R18" i="2"/>
  <c r="P19" i="2"/>
  <c r="Q19" i="2"/>
  <c r="R19" i="2"/>
  <c r="P20" i="2"/>
  <c r="R20" i="2" s="1"/>
  <c r="Q20" i="2"/>
  <c r="P21" i="2"/>
  <c r="Q21" i="2"/>
  <c r="R21" i="2" s="1"/>
  <c r="P22" i="2"/>
  <c r="Q22" i="2"/>
  <c r="R22" i="2"/>
  <c r="P23" i="2"/>
  <c r="Q23" i="2"/>
  <c r="R23" i="2"/>
  <c r="P24" i="2"/>
  <c r="R24" i="2" s="1"/>
  <c r="Q24" i="2"/>
  <c r="P25" i="2"/>
  <c r="Q25" i="2"/>
  <c r="R25" i="2" s="1"/>
  <c r="P26" i="2"/>
  <c r="Q26" i="2"/>
  <c r="R26" i="2"/>
  <c r="P27" i="2"/>
  <c r="Q27" i="2"/>
  <c r="R27" i="2"/>
  <c r="P28" i="2"/>
  <c r="R28" i="2" s="1"/>
  <c r="Q28" i="2"/>
  <c r="P29" i="2"/>
  <c r="Q29" i="2"/>
  <c r="R29" i="2" s="1"/>
  <c r="P30" i="2"/>
  <c r="Q30" i="2"/>
  <c r="R30" i="2"/>
  <c r="P31" i="2"/>
  <c r="Q31" i="2"/>
  <c r="R31" i="2"/>
  <c r="P32" i="2"/>
  <c r="R32" i="2" s="1"/>
  <c r="Q32" i="2"/>
  <c r="P33" i="2"/>
  <c r="Q33" i="2"/>
  <c r="R33" i="2" s="1"/>
  <c r="P34" i="2"/>
  <c r="Q34" i="2"/>
  <c r="R34" i="2"/>
  <c r="P35" i="2"/>
  <c r="Q35" i="2"/>
  <c r="R35" i="2"/>
  <c r="P36" i="2"/>
  <c r="R36" i="2" s="1"/>
  <c r="Q36" i="2"/>
  <c r="P10" i="2"/>
  <c r="Q10" i="2"/>
  <c r="M11" i="2"/>
  <c r="N11" i="2"/>
  <c r="O11" i="2"/>
  <c r="M12" i="2"/>
  <c r="O12" i="2" s="1"/>
  <c r="N12" i="2"/>
  <c r="M13" i="2"/>
  <c r="N13" i="2"/>
  <c r="O13" i="2" s="1"/>
  <c r="M14" i="2"/>
  <c r="O14" i="2" s="1"/>
  <c r="N14" i="2"/>
  <c r="M15" i="2"/>
  <c r="N15" i="2"/>
  <c r="O15" i="2" s="1"/>
  <c r="M16" i="2"/>
  <c r="O16" i="2" s="1"/>
  <c r="N16" i="2"/>
  <c r="M17" i="2"/>
  <c r="N17" i="2"/>
  <c r="O17" i="2" s="1"/>
  <c r="M18" i="2"/>
  <c r="N18" i="2"/>
  <c r="O18" i="2"/>
  <c r="M19" i="2"/>
  <c r="N19" i="2"/>
  <c r="O19" i="2"/>
  <c r="M20" i="2"/>
  <c r="N20" i="2"/>
  <c r="O20" i="2" s="1"/>
  <c r="M21" i="2"/>
  <c r="N21" i="2"/>
  <c r="O21" i="2" s="1"/>
  <c r="M22" i="2"/>
  <c r="N22" i="2"/>
  <c r="O22" i="2"/>
  <c r="M23" i="2"/>
  <c r="N23" i="2"/>
  <c r="O23" i="2"/>
  <c r="M24" i="2"/>
  <c r="N24" i="2"/>
  <c r="O24" i="2" s="1"/>
  <c r="M25" i="2"/>
  <c r="N25" i="2"/>
  <c r="O25" i="2" s="1"/>
  <c r="M26" i="2"/>
  <c r="N26" i="2"/>
  <c r="O26" i="2"/>
  <c r="M27" i="2"/>
  <c r="N27" i="2"/>
  <c r="O27" i="2"/>
  <c r="M28" i="2"/>
  <c r="N28" i="2"/>
  <c r="O28" i="2" s="1"/>
  <c r="M29" i="2"/>
  <c r="N29" i="2"/>
  <c r="O29" i="2" s="1"/>
  <c r="M30" i="2"/>
  <c r="N30" i="2"/>
  <c r="O30" i="2"/>
  <c r="M31" i="2"/>
  <c r="N31" i="2"/>
  <c r="O31" i="2"/>
  <c r="M32" i="2"/>
  <c r="N32" i="2"/>
  <c r="O32" i="2" s="1"/>
  <c r="M33" i="2"/>
  <c r="N33" i="2"/>
  <c r="O33" i="2" s="1"/>
  <c r="M34" i="2"/>
  <c r="N34" i="2"/>
  <c r="O34" i="2"/>
  <c r="M35" i="2"/>
  <c r="N35" i="2"/>
  <c r="O35" i="2"/>
  <c r="M36" i="2"/>
  <c r="N36" i="2"/>
  <c r="O36" i="2" s="1"/>
  <c r="N10" i="2" l="1"/>
  <c r="M10" i="2"/>
  <c r="H11" i="2"/>
  <c r="J11" i="2" s="1"/>
  <c r="I11" i="2"/>
  <c r="K11" i="2"/>
  <c r="L11" i="2"/>
  <c r="H12" i="2"/>
  <c r="I12" i="2"/>
  <c r="L12" i="2" s="1"/>
  <c r="J12" i="2"/>
  <c r="K12" i="2"/>
  <c r="H13" i="2"/>
  <c r="K13" i="2" s="1"/>
  <c r="I13" i="2"/>
  <c r="J13" i="2" s="1"/>
  <c r="H14" i="2"/>
  <c r="K14" i="2" s="1"/>
  <c r="I14" i="2"/>
  <c r="J14" i="2" s="1"/>
  <c r="H15" i="2"/>
  <c r="J15" i="2" s="1"/>
  <c r="I15" i="2"/>
  <c r="L15" i="2"/>
  <c r="H16" i="2"/>
  <c r="I16" i="2"/>
  <c r="L16" i="2" s="1"/>
  <c r="J16" i="2"/>
  <c r="K16" i="2"/>
  <c r="H17" i="2"/>
  <c r="K17" i="2" s="1"/>
  <c r="I17" i="2"/>
  <c r="L17" i="2" s="1"/>
  <c r="J17" i="2"/>
  <c r="H18" i="2"/>
  <c r="K18" i="2" s="1"/>
  <c r="I18" i="2"/>
  <c r="J18" i="2" s="1"/>
  <c r="H19" i="2"/>
  <c r="J19" i="2" s="1"/>
  <c r="I19" i="2"/>
  <c r="L19" i="2"/>
  <c r="H20" i="2"/>
  <c r="I20" i="2"/>
  <c r="L20" i="2" s="1"/>
  <c r="J20" i="2"/>
  <c r="K20" i="2"/>
  <c r="H21" i="2"/>
  <c r="K21" i="2" s="1"/>
  <c r="I21" i="2"/>
  <c r="L21" i="2" s="1"/>
  <c r="J21" i="2"/>
  <c r="H22" i="2"/>
  <c r="K22" i="2" s="1"/>
  <c r="I22" i="2"/>
  <c r="J22" i="2" s="1"/>
  <c r="H23" i="2"/>
  <c r="J23" i="2" s="1"/>
  <c r="I23" i="2"/>
  <c r="L23" i="2"/>
  <c r="H24" i="2"/>
  <c r="I24" i="2"/>
  <c r="L24" i="2" s="1"/>
  <c r="J24" i="2"/>
  <c r="K24" i="2"/>
  <c r="H25" i="2"/>
  <c r="K25" i="2" s="1"/>
  <c r="I25" i="2"/>
  <c r="L25" i="2" s="1"/>
  <c r="J25" i="2"/>
  <c r="H26" i="2"/>
  <c r="K26" i="2" s="1"/>
  <c r="I26" i="2"/>
  <c r="J26" i="2" s="1"/>
  <c r="H27" i="2"/>
  <c r="J27" i="2" s="1"/>
  <c r="I27" i="2"/>
  <c r="L27" i="2"/>
  <c r="H28" i="2"/>
  <c r="I28" i="2"/>
  <c r="L28" i="2" s="1"/>
  <c r="J28" i="2"/>
  <c r="K28" i="2"/>
  <c r="H29" i="2"/>
  <c r="K29" i="2" s="1"/>
  <c r="I29" i="2"/>
  <c r="L29" i="2" s="1"/>
  <c r="J29" i="2"/>
  <c r="H30" i="2"/>
  <c r="K30" i="2" s="1"/>
  <c r="I30" i="2"/>
  <c r="J30" i="2" s="1"/>
  <c r="H31" i="2"/>
  <c r="J31" i="2" s="1"/>
  <c r="I31" i="2"/>
  <c r="L31" i="2"/>
  <c r="H32" i="2"/>
  <c r="I32" i="2"/>
  <c r="L32" i="2" s="1"/>
  <c r="J32" i="2"/>
  <c r="K32" i="2"/>
  <c r="H33" i="2"/>
  <c r="K33" i="2" s="1"/>
  <c r="I33" i="2"/>
  <c r="L33" i="2" s="1"/>
  <c r="J33" i="2"/>
  <c r="H34" i="2"/>
  <c r="K34" i="2" s="1"/>
  <c r="I34" i="2"/>
  <c r="J34" i="2" s="1"/>
  <c r="H35" i="2"/>
  <c r="J35" i="2" s="1"/>
  <c r="I35" i="2"/>
  <c r="L35" i="2"/>
  <c r="H36" i="2"/>
  <c r="I36" i="2"/>
  <c r="L36" i="2" s="1"/>
  <c r="J36" i="2"/>
  <c r="K36" i="2"/>
  <c r="I10" i="2"/>
  <c r="H10" i="2"/>
  <c r="E11" i="2"/>
  <c r="F11" i="2"/>
  <c r="G11" i="2"/>
  <c r="E12" i="2"/>
  <c r="G12" i="2" s="1"/>
  <c r="F12" i="2"/>
  <c r="E13" i="2"/>
  <c r="F13" i="2"/>
  <c r="G13" i="2" s="1"/>
  <c r="E14" i="2"/>
  <c r="F14" i="2"/>
  <c r="G14" i="2"/>
  <c r="E15" i="2"/>
  <c r="F15" i="2"/>
  <c r="G15" i="2"/>
  <c r="E16" i="2"/>
  <c r="G16" i="2" s="1"/>
  <c r="F16" i="2"/>
  <c r="E17" i="2"/>
  <c r="F17" i="2"/>
  <c r="G17" i="2" s="1"/>
  <c r="E18" i="2"/>
  <c r="F18" i="2"/>
  <c r="G18" i="2"/>
  <c r="E19" i="2"/>
  <c r="F19" i="2"/>
  <c r="G19" i="2"/>
  <c r="E20" i="2"/>
  <c r="G20" i="2" s="1"/>
  <c r="F20" i="2"/>
  <c r="E21" i="2"/>
  <c r="F21" i="2"/>
  <c r="G21" i="2" s="1"/>
  <c r="E22" i="2"/>
  <c r="F22" i="2"/>
  <c r="G22" i="2"/>
  <c r="E23" i="2"/>
  <c r="F23" i="2"/>
  <c r="G23" i="2"/>
  <c r="E24" i="2"/>
  <c r="G24" i="2" s="1"/>
  <c r="F24" i="2"/>
  <c r="E25" i="2"/>
  <c r="F25" i="2"/>
  <c r="G25" i="2" s="1"/>
  <c r="E26" i="2"/>
  <c r="F26" i="2"/>
  <c r="G26" i="2"/>
  <c r="E27" i="2"/>
  <c r="F27" i="2"/>
  <c r="G27" i="2"/>
  <c r="E28" i="2"/>
  <c r="G28" i="2" s="1"/>
  <c r="F28" i="2"/>
  <c r="E29" i="2"/>
  <c r="F29" i="2"/>
  <c r="G29" i="2" s="1"/>
  <c r="E30" i="2"/>
  <c r="F30" i="2"/>
  <c r="G30" i="2"/>
  <c r="E31" i="2"/>
  <c r="F31" i="2"/>
  <c r="G31" i="2"/>
  <c r="E32" i="2"/>
  <c r="G32" i="2" s="1"/>
  <c r="F32" i="2"/>
  <c r="E33" i="2"/>
  <c r="F33" i="2"/>
  <c r="G33" i="2" s="1"/>
  <c r="E34" i="2"/>
  <c r="F34" i="2"/>
  <c r="G34" i="2"/>
  <c r="E35" i="2"/>
  <c r="F35" i="2"/>
  <c r="G35" i="2"/>
  <c r="E36" i="2"/>
  <c r="G36" i="2" s="1"/>
  <c r="F36" i="2"/>
  <c r="F10" i="2"/>
  <c r="E10" i="2"/>
  <c r="B36" i="2"/>
  <c r="C36" i="2"/>
  <c r="T36" i="2" s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C10" i="2"/>
  <c r="B10" i="2"/>
  <c r="S11" i="2"/>
  <c r="T11" i="2"/>
  <c r="S12" i="2"/>
  <c r="T12" i="2"/>
  <c r="S13" i="2"/>
  <c r="T13" i="2"/>
  <c r="S14" i="2"/>
  <c r="T14" i="2"/>
  <c r="S15" i="2"/>
  <c r="T15" i="2"/>
  <c r="S16" i="2"/>
  <c r="T16" i="2"/>
  <c r="S17" i="2"/>
  <c r="T17" i="2"/>
  <c r="S18" i="2"/>
  <c r="T18" i="2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K35" i="2" l="1"/>
  <c r="L34" i="2"/>
  <c r="K31" i="2"/>
  <c r="L30" i="2"/>
  <c r="K27" i="2"/>
  <c r="L26" i="2"/>
  <c r="K23" i="2"/>
  <c r="L22" i="2"/>
  <c r="K19" i="2"/>
  <c r="L18" i="2"/>
  <c r="K15" i="2"/>
  <c r="L14" i="2"/>
  <c r="L13" i="2"/>
  <c r="N10" i="4" l="1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N18" i="4"/>
  <c r="O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N28" i="4"/>
  <c r="O28" i="4"/>
  <c r="N29" i="4"/>
  <c r="O29" i="4"/>
  <c r="N30" i="4"/>
  <c r="O30" i="4"/>
  <c r="N31" i="4"/>
  <c r="O31" i="4"/>
  <c r="N32" i="4"/>
  <c r="O32" i="4"/>
  <c r="N33" i="4"/>
  <c r="O33" i="4"/>
  <c r="N34" i="4"/>
  <c r="O34" i="4"/>
  <c r="N35" i="4"/>
  <c r="O35" i="4"/>
  <c r="O9" i="4"/>
  <c r="N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M9" i="4"/>
  <c r="CB35" i="3"/>
  <c r="CC35" i="3"/>
  <c r="CC34" i="3"/>
  <c r="CB34" i="3"/>
  <c r="L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K9" i="4"/>
  <c r="J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9" i="4"/>
  <c r="H9" i="4"/>
  <c r="E10" i="4"/>
  <c r="F10" i="4"/>
  <c r="G10" i="4" s="1"/>
  <c r="E11" i="4"/>
  <c r="F11" i="4"/>
  <c r="G11" i="4"/>
  <c r="E12" i="4"/>
  <c r="F12" i="4"/>
  <c r="G12" i="4" s="1"/>
  <c r="E13" i="4"/>
  <c r="G13" i="4" s="1"/>
  <c r="F13" i="4"/>
  <c r="E14" i="4"/>
  <c r="F14" i="4"/>
  <c r="G14" i="4" s="1"/>
  <c r="E15" i="4"/>
  <c r="F15" i="4"/>
  <c r="G15" i="4"/>
  <c r="E16" i="4"/>
  <c r="F16" i="4"/>
  <c r="G16" i="4" s="1"/>
  <c r="E17" i="4"/>
  <c r="G17" i="4" s="1"/>
  <c r="F17" i="4"/>
  <c r="E18" i="4"/>
  <c r="F18" i="4"/>
  <c r="G18" i="4" s="1"/>
  <c r="E19" i="4"/>
  <c r="F19" i="4"/>
  <c r="G19" i="4"/>
  <c r="E20" i="4"/>
  <c r="F20" i="4"/>
  <c r="G20" i="4" s="1"/>
  <c r="E21" i="4"/>
  <c r="G21" i="4" s="1"/>
  <c r="F21" i="4"/>
  <c r="E22" i="4"/>
  <c r="F22" i="4"/>
  <c r="G22" i="4" s="1"/>
  <c r="E23" i="4"/>
  <c r="F23" i="4"/>
  <c r="G23" i="4"/>
  <c r="E24" i="4"/>
  <c r="F24" i="4"/>
  <c r="G24" i="4" s="1"/>
  <c r="E25" i="4"/>
  <c r="G25" i="4" s="1"/>
  <c r="F25" i="4"/>
  <c r="E26" i="4"/>
  <c r="F26" i="4"/>
  <c r="G26" i="4" s="1"/>
  <c r="E27" i="4"/>
  <c r="F27" i="4"/>
  <c r="G27" i="4"/>
  <c r="E28" i="4"/>
  <c r="F28" i="4"/>
  <c r="G28" i="4" s="1"/>
  <c r="E29" i="4"/>
  <c r="G29" i="4" s="1"/>
  <c r="F29" i="4"/>
  <c r="E30" i="4"/>
  <c r="F30" i="4"/>
  <c r="G30" i="4" s="1"/>
  <c r="E31" i="4"/>
  <c r="F31" i="4"/>
  <c r="G31" i="4"/>
  <c r="E32" i="4"/>
  <c r="F32" i="4"/>
  <c r="G32" i="4" s="1"/>
  <c r="E33" i="4"/>
  <c r="G33" i="4" s="1"/>
  <c r="F33" i="4"/>
  <c r="E34" i="4"/>
  <c r="F34" i="4"/>
  <c r="G34" i="4" s="1"/>
  <c r="E35" i="4"/>
  <c r="F35" i="4"/>
  <c r="G35" i="4"/>
  <c r="F9" i="4"/>
  <c r="E9" i="4"/>
  <c r="B10" i="4"/>
  <c r="C10" i="4"/>
  <c r="D10" i="4"/>
  <c r="B11" i="4"/>
  <c r="D11" i="4" s="1"/>
  <c r="C11" i="4"/>
  <c r="B12" i="4"/>
  <c r="C12" i="4"/>
  <c r="D12" i="4" s="1"/>
  <c r="B13" i="4"/>
  <c r="C13" i="4"/>
  <c r="D13" i="4"/>
  <c r="B14" i="4"/>
  <c r="C14" i="4"/>
  <c r="D14" i="4"/>
  <c r="B15" i="4"/>
  <c r="D15" i="4" s="1"/>
  <c r="C15" i="4"/>
  <c r="B16" i="4"/>
  <c r="C16" i="4"/>
  <c r="D16" i="4" s="1"/>
  <c r="B17" i="4"/>
  <c r="C17" i="4"/>
  <c r="D17" i="4"/>
  <c r="B18" i="4"/>
  <c r="C18" i="4"/>
  <c r="D18" i="4"/>
  <c r="B19" i="4"/>
  <c r="D19" i="4" s="1"/>
  <c r="C19" i="4"/>
  <c r="B20" i="4"/>
  <c r="C20" i="4"/>
  <c r="D20" i="4" s="1"/>
  <c r="B21" i="4"/>
  <c r="C21" i="4"/>
  <c r="D21" i="4"/>
  <c r="B22" i="4"/>
  <c r="C22" i="4"/>
  <c r="D22" i="4"/>
  <c r="B23" i="4"/>
  <c r="D23" i="4" s="1"/>
  <c r="C23" i="4"/>
  <c r="B24" i="4"/>
  <c r="C24" i="4"/>
  <c r="D24" i="4" s="1"/>
  <c r="B25" i="4"/>
  <c r="C25" i="4"/>
  <c r="D25" i="4"/>
  <c r="B26" i="4"/>
  <c r="C26" i="4"/>
  <c r="D26" i="4"/>
  <c r="B27" i="4"/>
  <c r="D27" i="4" s="1"/>
  <c r="C27" i="4"/>
  <c r="B28" i="4"/>
  <c r="C28" i="4"/>
  <c r="D28" i="4" s="1"/>
  <c r="B29" i="4"/>
  <c r="C29" i="4"/>
  <c r="D29" i="4"/>
  <c r="B30" i="4"/>
  <c r="C30" i="4"/>
  <c r="D30" i="4"/>
  <c r="B31" i="4"/>
  <c r="D31" i="4" s="1"/>
  <c r="C31" i="4"/>
  <c r="B32" i="4"/>
  <c r="C32" i="4"/>
  <c r="D32" i="4" s="1"/>
  <c r="B33" i="4"/>
  <c r="C33" i="4"/>
  <c r="D33" i="4"/>
  <c r="B34" i="4"/>
  <c r="C34" i="4"/>
  <c r="D34" i="4"/>
  <c r="B35" i="4"/>
  <c r="D35" i="4" s="1"/>
  <c r="C35" i="4"/>
  <c r="D9" i="4"/>
  <c r="C9" i="4"/>
  <c r="B9" i="4"/>
  <c r="CG35" i="3"/>
  <c r="CF35" i="3"/>
  <c r="CG34" i="3"/>
  <c r="CF34" i="3"/>
  <c r="BY35" i="3" l="1"/>
  <c r="CA34" i="3"/>
  <c r="BY34" i="3"/>
  <c r="BW35" i="3"/>
  <c r="BW34" i="3"/>
  <c r="BV35" i="3"/>
  <c r="BV34" i="3"/>
  <c r="CY34" i="3"/>
  <c r="CW34" i="3"/>
  <c r="CT34" i="3"/>
  <c r="CU34" i="3" s="1"/>
  <c r="CS34" i="3"/>
  <c r="CR32" i="3"/>
  <c r="CR31" i="3"/>
  <c r="CR30" i="3"/>
  <c r="CR29" i="3"/>
  <c r="CR28" i="3"/>
  <c r="CR27" i="3"/>
  <c r="CR26" i="3"/>
  <c r="CR25" i="3"/>
  <c r="CR24" i="3"/>
  <c r="CR23" i="3"/>
  <c r="CR22" i="3"/>
  <c r="CR21" i="3"/>
  <c r="CR20" i="3"/>
  <c r="CR19" i="3"/>
  <c r="CR18" i="3"/>
  <c r="CR17" i="3"/>
  <c r="CR16" i="3"/>
  <c r="CR15" i="3"/>
  <c r="CR14" i="3"/>
  <c r="CR13" i="3"/>
  <c r="CR12" i="3"/>
  <c r="CR11" i="3"/>
  <c r="CR10" i="3"/>
  <c r="CR9" i="3"/>
  <c r="CR8" i="3"/>
  <c r="CR7" i="3"/>
  <c r="CM8" i="3"/>
  <c r="CM9" i="3"/>
  <c r="CM10" i="3"/>
  <c r="CM11" i="3"/>
  <c r="CM12" i="3"/>
  <c r="CM13" i="3"/>
  <c r="CM14" i="3"/>
  <c r="CM15" i="3"/>
  <c r="CM16" i="3"/>
  <c r="CM17" i="3"/>
  <c r="CM18" i="3"/>
  <c r="CM19" i="3"/>
  <c r="CM20" i="3"/>
  <c r="CM21" i="3"/>
  <c r="CM22" i="3"/>
  <c r="CM23" i="3"/>
  <c r="CM24" i="3"/>
  <c r="CM25" i="3"/>
  <c r="CM26" i="3"/>
  <c r="CM27" i="3"/>
  <c r="CM28" i="3"/>
  <c r="CM29" i="3"/>
  <c r="CM30" i="3"/>
  <c r="CM31" i="3"/>
  <c r="CM32" i="3"/>
  <c r="CM7" i="3"/>
  <c r="CE34" i="3"/>
  <c r="CE35" i="3" s="1"/>
  <c r="CD34" i="3"/>
  <c r="CD35" i="3" s="1"/>
  <c r="BL34" i="3"/>
  <c r="BG34" i="3"/>
  <c r="BG35" i="3" s="1"/>
  <c r="BL32" i="3"/>
  <c r="BL31" i="3"/>
  <c r="BL30" i="3"/>
  <c r="BL29" i="3"/>
  <c r="BL28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BL15" i="3"/>
  <c r="BL14" i="3"/>
  <c r="BL13" i="3"/>
  <c r="BL12" i="3"/>
  <c r="BL11" i="3"/>
  <c r="BL10" i="3"/>
  <c r="BL9" i="3"/>
  <c r="BL8" i="3"/>
  <c r="BL7" i="3"/>
  <c r="BG8" i="3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25" i="3"/>
  <c r="BG26" i="3"/>
  <c r="BG27" i="3"/>
  <c r="BG28" i="3"/>
  <c r="BG29" i="3"/>
  <c r="BG30" i="3"/>
  <c r="BG31" i="3"/>
  <c r="BG32" i="3"/>
  <c r="BG7" i="3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7" i="3"/>
  <c r="BA34" i="3"/>
  <c r="BA35" i="3" s="1"/>
  <c r="AZ34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7" i="3"/>
  <c r="AS7" i="3"/>
  <c r="AE34" i="3" l="1"/>
  <c r="AD34" i="3"/>
  <c r="AD35" i="3" s="1"/>
  <c r="AK34" i="3"/>
  <c r="AL34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7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7" i="3"/>
  <c r="S34" i="3"/>
  <c r="O34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7" i="3"/>
  <c r="S33" i="3" l="1"/>
  <c r="S35" i="3" s="1"/>
  <c r="O33" i="3"/>
  <c r="O35" i="3" s="1"/>
  <c r="CV33" i="3" l="1"/>
  <c r="CP33" i="3"/>
  <c r="CO33" i="3"/>
  <c r="CN33" i="3"/>
  <c r="CK33" i="3"/>
  <c r="CJ33" i="3"/>
  <c r="CI33" i="3"/>
  <c r="CG33" i="3"/>
  <c r="CF33" i="3"/>
  <c r="BZ33" i="3"/>
  <c r="BW33" i="3"/>
  <c r="BV33" i="3"/>
  <c r="BS33" i="3"/>
  <c r="BR33" i="3"/>
  <c r="BQ33" i="3"/>
  <c r="BO33" i="3"/>
  <c r="BN33" i="3"/>
  <c r="BM33" i="3"/>
  <c r="AV33" i="3"/>
  <c r="AU33" i="3"/>
  <c r="AT33" i="3"/>
  <c r="AI33" i="3"/>
  <c r="AG33" i="3"/>
  <c r="Q33" i="3"/>
  <c r="P33" i="3"/>
  <c r="M33" i="3"/>
  <c r="I33" i="3"/>
  <c r="H33" i="3"/>
  <c r="G33" i="3"/>
  <c r="D33" i="3"/>
  <c r="C33" i="3"/>
  <c r="B33" i="3"/>
  <c r="DC32" i="3"/>
  <c r="DA32" i="3"/>
  <c r="CY32" i="3"/>
  <c r="CW32" i="3"/>
  <c r="CH32" i="3"/>
  <c r="CA32" i="3"/>
  <c r="CC32" i="3" s="1"/>
  <c r="BY32" i="3"/>
  <c r="CB32" i="3" s="1"/>
  <c r="BT32" i="3"/>
  <c r="BP32" i="3"/>
  <c r="BA32" i="3"/>
  <c r="AL32" i="3"/>
  <c r="DC31" i="3"/>
  <c r="DA31" i="3"/>
  <c r="CY31" i="3"/>
  <c r="CW31" i="3"/>
  <c r="CH31" i="3"/>
  <c r="CA31" i="3"/>
  <c r="CC31" i="3" s="1"/>
  <c r="BY31" i="3"/>
  <c r="CB31" i="3" s="1"/>
  <c r="BT31" i="3"/>
  <c r="BP31" i="3"/>
  <c r="DC30" i="3"/>
  <c r="DA30" i="3"/>
  <c r="CY30" i="3"/>
  <c r="CW30" i="3"/>
  <c r="CH30" i="3"/>
  <c r="CA30" i="3"/>
  <c r="CC30" i="3" s="1"/>
  <c r="BY30" i="3"/>
  <c r="CB30" i="3" s="1"/>
  <c r="BT30" i="3"/>
  <c r="BP30" i="3"/>
  <c r="DC29" i="3"/>
  <c r="DA29" i="3"/>
  <c r="CY29" i="3"/>
  <c r="CW29" i="3"/>
  <c r="CH29" i="3"/>
  <c r="CA29" i="3"/>
  <c r="CC29" i="3" s="1"/>
  <c r="BY29" i="3"/>
  <c r="CB29" i="3" s="1"/>
  <c r="BT29" i="3"/>
  <c r="BP29" i="3"/>
  <c r="DC28" i="3"/>
  <c r="DA28" i="3"/>
  <c r="CY28" i="3"/>
  <c r="CW28" i="3"/>
  <c r="CH28" i="3"/>
  <c r="CA28" i="3"/>
  <c r="CC28" i="3" s="1"/>
  <c r="BY28" i="3"/>
  <c r="CB28" i="3" s="1"/>
  <c r="BT28" i="3"/>
  <c r="BP28" i="3"/>
  <c r="BU28" i="3" s="1"/>
  <c r="DC27" i="3"/>
  <c r="DA27" i="3"/>
  <c r="CY27" i="3"/>
  <c r="CW27" i="3"/>
  <c r="CH27" i="3"/>
  <c r="CA27" i="3"/>
  <c r="CC27" i="3" s="1"/>
  <c r="BY27" i="3"/>
  <c r="CB27" i="3" s="1"/>
  <c r="BT27" i="3"/>
  <c r="BP27" i="3"/>
  <c r="BA27" i="3"/>
  <c r="DC26" i="3"/>
  <c r="DA26" i="3"/>
  <c r="CY26" i="3"/>
  <c r="CW26" i="3"/>
  <c r="CH26" i="3"/>
  <c r="CA26" i="3"/>
  <c r="CC26" i="3" s="1"/>
  <c r="BY26" i="3"/>
  <c r="CB26" i="3" s="1"/>
  <c r="BT26" i="3"/>
  <c r="BP26" i="3"/>
  <c r="DC25" i="3"/>
  <c r="DA25" i="3"/>
  <c r="CY25" i="3"/>
  <c r="CW25" i="3"/>
  <c r="CS25" i="3"/>
  <c r="CH25" i="3"/>
  <c r="CA25" i="3"/>
  <c r="CC25" i="3" s="1"/>
  <c r="BY25" i="3"/>
  <c r="CB25" i="3" s="1"/>
  <c r="BT25" i="3"/>
  <c r="BP25" i="3"/>
  <c r="DC24" i="3"/>
  <c r="DA24" i="3"/>
  <c r="CY24" i="3"/>
  <c r="CW24" i="3"/>
  <c r="CH24" i="3"/>
  <c r="CA24" i="3"/>
  <c r="CC24" i="3" s="1"/>
  <c r="BY24" i="3"/>
  <c r="CB24" i="3" s="1"/>
  <c r="BT24" i="3"/>
  <c r="BP24" i="3"/>
  <c r="AE24" i="3"/>
  <c r="DC23" i="3"/>
  <c r="DA23" i="3"/>
  <c r="CY23" i="3"/>
  <c r="CW23" i="3"/>
  <c r="CH23" i="3"/>
  <c r="CA23" i="3"/>
  <c r="CC23" i="3" s="1"/>
  <c r="BY23" i="3"/>
  <c r="CB23" i="3" s="1"/>
  <c r="BT23" i="3"/>
  <c r="BP23" i="3"/>
  <c r="DC22" i="3"/>
  <c r="DA22" i="3"/>
  <c r="CY22" i="3"/>
  <c r="CW22" i="3"/>
  <c r="CH22" i="3"/>
  <c r="CA22" i="3"/>
  <c r="CC22" i="3" s="1"/>
  <c r="BY22" i="3"/>
  <c r="CB22" i="3" s="1"/>
  <c r="BT22" i="3"/>
  <c r="BP22" i="3"/>
  <c r="DC21" i="3"/>
  <c r="DA21" i="3"/>
  <c r="CY21" i="3"/>
  <c r="CW21" i="3"/>
  <c r="CH21" i="3"/>
  <c r="CA21" i="3"/>
  <c r="CC21" i="3" s="1"/>
  <c r="BY21" i="3"/>
  <c r="CB21" i="3" s="1"/>
  <c r="BT21" i="3"/>
  <c r="BU21" i="3" s="1"/>
  <c r="BP21" i="3"/>
  <c r="DC20" i="3"/>
  <c r="DA20" i="3"/>
  <c r="CY20" i="3"/>
  <c r="CW20" i="3"/>
  <c r="CH20" i="3"/>
  <c r="CA20" i="3"/>
  <c r="CC20" i="3" s="1"/>
  <c r="BY20" i="3"/>
  <c r="CB20" i="3" s="1"/>
  <c r="BT20" i="3"/>
  <c r="BP20" i="3"/>
  <c r="DC19" i="3"/>
  <c r="DA19" i="3"/>
  <c r="CY19" i="3"/>
  <c r="CW19" i="3"/>
  <c r="CH19" i="3"/>
  <c r="CA19" i="3"/>
  <c r="CC19" i="3" s="1"/>
  <c r="BY19" i="3"/>
  <c r="CB19" i="3" s="1"/>
  <c r="BT19" i="3"/>
  <c r="BP19" i="3"/>
  <c r="BA19" i="3"/>
  <c r="DC18" i="3"/>
  <c r="DA18" i="3"/>
  <c r="CY18" i="3"/>
  <c r="CW18" i="3"/>
  <c r="CH18" i="3"/>
  <c r="CA18" i="3"/>
  <c r="CC18" i="3" s="1"/>
  <c r="BY18" i="3"/>
  <c r="CB18" i="3" s="1"/>
  <c r="BT18" i="3"/>
  <c r="BP18" i="3"/>
  <c r="AE18" i="3"/>
  <c r="AJ18" i="3" s="1"/>
  <c r="DC17" i="3"/>
  <c r="DA17" i="3"/>
  <c r="CY17" i="3"/>
  <c r="CW17" i="3"/>
  <c r="CH17" i="3"/>
  <c r="CA17" i="3"/>
  <c r="CC17" i="3" s="1"/>
  <c r="BY17" i="3"/>
  <c r="CB17" i="3" s="1"/>
  <c r="BT17" i="3"/>
  <c r="BP17" i="3"/>
  <c r="DC16" i="3"/>
  <c r="DA16" i="3"/>
  <c r="DD16" i="3" s="1"/>
  <c r="CY16" i="3"/>
  <c r="CW16" i="3"/>
  <c r="CS16" i="3"/>
  <c r="CH16" i="3"/>
  <c r="CA16" i="3"/>
  <c r="CC16" i="3" s="1"/>
  <c r="BY16" i="3"/>
  <c r="CB16" i="3" s="1"/>
  <c r="BT16" i="3"/>
  <c r="BP16" i="3"/>
  <c r="DC15" i="3"/>
  <c r="DA15" i="3"/>
  <c r="CY15" i="3"/>
  <c r="CW15" i="3"/>
  <c r="CH15" i="3"/>
  <c r="CA15" i="3"/>
  <c r="CC15" i="3" s="1"/>
  <c r="BY15" i="3"/>
  <c r="CB15" i="3" s="1"/>
  <c r="BT15" i="3"/>
  <c r="BP15" i="3"/>
  <c r="DC14" i="3"/>
  <c r="DA14" i="3"/>
  <c r="CY14" i="3"/>
  <c r="CW14" i="3"/>
  <c r="CH14" i="3"/>
  <c r="CA14" i="3"/>
  <c r="CC14" i="3" s="1"/>
  <c r="BY14" i="3"/>
  <c r="CB14" i="3" s="1"/>
  <c r="BT14" i="3"/>
  <c r="BP14" i="3"/>
  <c r="AZ14" i="3"/>
  <c r="DC13" i="3"/>
  <c r="DA13" i="3"/>
  <c r="CY13" i="3"/>
  <c r="CW13" i="3"/>
  <c r="CS13" i="3"/>
  <c r="CH13" i="3"/>
  <c r="CA13" i="3"/>
  <c r="CC13" i="3" s="1"/>
  <c r="BY13" i="3"/>
  <c r="CB13" i="3" s="1"/>
  <c r="BT13" i="3"/>
  <c r="BP13" i="3"/>
  <c r="AK13" i="3"/>
  <c r="AD13" i="3"/>
  <c r="DC12" i="3"/>
  <c r="DA12" i="3"/>
  <c r="CY12" i="3"/>
  <c r="CW12" i="3"/>
  <c r="CH12" i="3"/>
  <c r="CA12" i="3"/>
  <c r="CC12" i="3" s="1"/>
  <c r="BY12" i="3"/>
  <c r="CB12" i="3" s="1"/>
  <c r="BT12" i="3"/>
  <c r="BP12" i="3"/>
  <c r="DC11" i="3"/>
  <c r="DA11" i="3"/>
  <c r="CY11" i="3"/>
  <c r="CW11" i="3"/>
  <c r="CH11" i="3"/>
  <c r="CA11" i="3"/>
  <c r="CC11" i="3" s="1"/>
  <c r="BY11" i="3"/>
  <c r="CB11" i="3" s="1"/>
  <c r="BT11" i="3"/>
  <c r="BP11" i="3"/>
  <c r="AZ11" i="3"/>
  <c r="DC10" i="3"/>
  <c r="DA10" i="3"/>
  <c r="CY10" i="3"/>
  <c r="CW10" i="3"/>
  <c r="CH10" i="3"/>
  <c r="CA10" i="3"/>
  <c r="CC10" i="3" s="1"/>
  <c r="BY10" i="3"/>
  <c r="CB10" i="3" s="1"/>
  <c r="BT10" i="3"/>
  <c r="BP10" i="3"/>
  <c r="DC9" i="3"/>
  <c r="DA9" i="3"/>
  <c r="CY9" i="3"/>
  <c r="CW9" i="3"/>
  <c r="CH9" i="3"/>
  <c r="CA9" i="3"/>
  <c r="CC9" i="3" s="1"/>
  <c r="BY9" i="3"/>
  <c r="CB9" i="3" s="1"/>
  <c r="BT9" i="3"/>
  <c r="BP9" i="3"/>
  <c r="DC8" i="3"/>
  <c r="DA8" i="3"/>
  <c r="CY8" i="3"/>
  <c r="CW8" i="3"/>
  <c r="CH8" i="3"/>
  <c r="CA8" i="3"/>
  <c r="CC8" i="3" s="1"/>
  <c r="BY8" i="3"/>
  <c r="CB8" i="3" s="1"/>
  <c r="BT8" i="3"/>
  <c r="BP8" i="3"/>
  <c r="DC7" i="3"/>
  <c r="DA7" i="3"/>
  <c r="CY7" i="3"/>
  <c r="CW7" i="3"/>
  <c r="CH7" i="3"/>
  <c r="CA7" i="3"/>
  <c r="CC7" i="3" s="1"/>
  <c r="BY7" i="3"/>
  <c r="BT7" i="3"/>
  <c r="BP7" i="3"/>
  <c r="BU17" i="3" l="1"/>
  <c r="DD23" i="3"/>
  <c r="BU27" i="3"/>
  <c r="CT16" i="3"/>
  <c r="CU16" i="3" s="1"/>
  <c r="CS26" i="3"/>
  <c r="BU8" i="3"/>
  <c r="AK8" i="3"/>
  <c r="AK17" i="3"/>
  <c r="BA16" i="3"/>
  <c r="AL29" i="3"/>
  <c r="CS23" i="3"/>
  <c r="AE21" i="3"/>
  <c r="AJ21" i="3" s="1"/>
  <c r="DD13" i="3"/>
  <c r="CT19" i="3"/>
  <c r="AZ21" i="3"/>
  <c r="CT10" i="3"/>
  <c r="BA11" i="3"/>
  <c r="BB11" i="3" s="1"/>
  <c r="CT17" i="3"/>
  <c r="DD17" i="3"/>
  <c r="AZ18" i="3"/>
  <c r="BU26" i="3"/>
  <c r="BU30" i="3"/>
  <c r="DD18" i="3"/>
  <c r="AZ9" i="3"/>
  <c r="AE14" i="3"/>
  <c r="AJ14" i="3" s="1"/>
  <c r="CS20" i="3"/>
  <c r="CT22" i="3"/>
  <c r="AK29" i="3"/>
  <c r="BU29" i="3"/>
  <c r="CS30" i="3"/>
  <c r="CS19" i="3"/>
  <c r="BU7" i="3"/>
  <c r="BU14" i="3"/>
  <c r="CS15" i="3"/>
  <c r="AZ17" i="3"/>
  <c r="AZ19" i="3"/>
  <c r="BB19" i="3" s="1"/>
  <c r="AZ25" i="3"/>
  <c r="AZ26" i="3"/>
  <c r="CS32" i="3"/>
  <c r="CR33" i="3"/>
  <c r="DD9" i="3"/>
  <c r="AE10" i="3"/>
  <c r="AJ10" i="3" s="1"/>
  <c r="AZ10" i="3"/>
  <c r="BA14" i="3"/>
  <c r="BB14" i="3" s="1"/>
  <c r="DD15" i="3"/>
  <c r="AD19" i="3"/>
  <c r="AH19" i="3" s="1"/>
  <c r="AK19" i="3"/>
  <c r="AE20" i="3"/>
  <c r="AJ20" i="3" s="1"/>
  <c r="AL20" i="3"/>
  <c r="BA20" i="3"/>
  <c r="AE23" i="3"/>
  <c r="AJ23" i="3" s="1"/>
  <c r="AD25" i="3"/>
  <c r="AH25" i="3" s="1"/>
  <c r="AK25" i="3"/>
  <c r="AK26" i="3"/>
  <c r="AL28" i="3"/>
  <c r="AD30" i="3"/>
  <c r="AH30" i="3" s="1"/>
  <c r="AK31" i="3"/>
  <c r="BU11" i="3"/>
  <c r="AZ12" i="3"/>
  <c r="AZ13" i="3"/>
  <c r="AD14" i="3"/>
  <c r="AK14" i="3"/>
  <c r="AD15" i="3"/>
  <c r="AH15" i="3" s="1"/>
  <c r="AK15" i="3"/>
  <c r="AE17" i="3"/>
  <c r="AJ17" i="3" s="1"/>
  <c r="AL17" i="3"/>
  <c r="BA17" i="3"/>
  <c r="AK18" i="3"/>
  <c r="CT20" i="3"/>
  <c r="AD23" i="3"/>
  <c r="AH23" i="3" s="1"/>
  <c r="AK28" i="3"/>
  <c r="DD30" i="3"/>
  <c r="AD32" i="3"/>
  <c r="AK32" i="3"/>
  <c r="AZ32" i="3"/>
  <c r="BB32" i="3" s="1"/>
  <c r="AM34" i="3"/>
  <c r="AZ31" i="3"/>
  <c r="BU15" i="3"/>
  <c r="BU22" i="3"/>
  <c r="CS24" i="3"/>
  <c r="DD29" i="3"/>
  <c r="CS8" i="3"/>
  <c r="BU12" i="3"/>
  <c r="CT14" i="3"/>
  <c r="DD10" i="3"/>
  <c r="CT11" i="3"/>
  <c r="BU16" i="3"/>
  <c r="CT18" i="3"/>
  <c r="AL18" i="3"/>
  <c r="BU18" i="3"/>
  <c r="CS18" i="3"/>
  <c r="AK24" i="3"/>
  <c r="AZ24" i="3"/>
  <c r="DA33" i="3"/>
  <c r="AK30" i="3"/>
  <c r="BG33" i="3"/>
  <c r="CT8" i="3"/>
  <c r="BU9" i="3"/>
  <c r="BL33" i="3"/>
  <c r="BL35" i="3" s="1"/>
  <c r="AE8" i="3"/>
  <c r="AL8" i="3"/>
  <c r="BA8" i="3"/>
  <c r="AL9" i="3"/>
  <c r="CT9" i="3"/>
  <c r="BU10" i="3"/>
  <c r="AE13" i="3"/>
  <c r="AF13" i="3" s="1"/>
  <c r="CS14" i="3"/>
  <c r="BA15" i="3"/>
  <c r="AZ15" i="3"/>
  <c r="AD16" i="3"/>
  <c r="AH16" i="3" s="1"/>
  <c r="AK16" i="3"/>
  <c r="AZ16" i="3"/>
  <c r="AD17" i="3"/>
  <c r="AH17" i="3" s="1"/>
  <c r="BU19" i="3"/>
  <c r="BU20" i="3"/>
  <c r="AK21" i="3"/>
  <c r="AZ23" i="3"/>
  <c r="DD28" i="3"/>
  <c r="BA29" i="3"/>
  <c r="CT29" i="3"/>
  <c r="AZ30" i="3"/>
  <c r="BU23" i="3"/>
  <c r="DD26" i="3"/>
  <c r="DD11" i="3"/>
  <c r="BA12" i="3"/>
  <c r="CT12" i="3"/>
  <c r="CS17" i="3"/>
  <c r="AD18" i="3"/>
  <c r="AF18" i="3" s="1"/>
  <c r="BA18" i="3"/>
  <c r="AZ20" i="3"/>
  <c r="AE22" i="3"/>
  <c r="AJ22" i="3" s="1"/>
  <c r="AL22" i="3"/>
  <c r="BA22" i="3"/>
  <c r="AL23" i="3"/>
  <c r="BU25" i="3"/>
  <c r="AD26" i="3"/>
  <c r="AH26" i="3" s="1"/>
  <c r="DD27" i="3"/>
  <c r="BA28" i="3"/>
  <c r="CT28" i="3"/>
  <c r="AZ29" i="3"/>
  <c r="AE32" i="3"/>
  <c r="CT32" i="3"/>
  <c r="AJ24" i="3"/>
  <c r="AL25" i="3"/>
  <c r="AE25" i="3"/>
  <c r="BA26" i="3"/>
  <c r="AE26" i="3"/>
  <c r="CT31" i="3"/>
  <c r="BA31" i="3"/>
  <c r="AE31" i="3"/>
  <c r="BY33" i="3"/>
  <c r="CB7" i="3"/>
  <c r="CB33" i="3" s="1"/>
  <c r="CW33" i="3"/>
  <c r="CW35" i="3" s="1"/>
  <c r="CD13" i="3"/>
  <c r="AH13" i="3"/>
  <c r="BA13" i="3"/>
  <c r="AC33" i="3"/>
  <c r="AL7" i="3"/>
  <c r="CM33" i="3"/>
  <c r="CS7" i="3"/>
  <c r="AK7" i="3"/>
  <c r="AD7" i="3"/>
  <c r="AR33" i="3"/>
  <c r="AZ7" i="3"/>
  <c r="CC33" i="3"/>
  <c r="AK9" i="3"/>
  <c r="CS9" i="3"/>
  <c r="AD9" i="3"/>
  <c r="CS10" i="3"/>
  <c r="AK10" i="3"/>
  <c r="AD10" i="3"/>
  <c r="CS11" i="3"/>
  <c r="AK11" i="3"/>
  <c r="AD11" i="3"/>
  <c r="CS12" i="3"/>
  <c r="AK12" i="3"/>
  <c r="AD12" i="3"/>
  <c r="CT13" i="3"/>
  <c r="CU13" i="3" s="1"/>
  <c r="AL13" i="3"/>
  <c r="BU13" i="3"/>
  <c r="AL14" i="3"/>
  <c r="AL15" i="3"/>
  <c r="CT15" i="3"/>
  <c r="AE15" i="3"/>
  <c r="AL24" i="3"/>
  <c r="CE24" i="3" s="1"/>
  <c r="BA24" i="3"/>
  <c r="K33" i="3"/>
  <c r="AE7" i="3"/>
  <c r="AY33" i="3"/>
  <c r="BA7" i="3"/>
  <c r="AK22" i="3"/>
  <c r="AZ22" i="3"/>
  <c r="AD22" i="3"/>
  <c r="AK27" i="3"/>
  <c r="CS27" i="3"/>
  <c r="AD27" i="3"/>
  <c r="BA9" i="3"/>
  <c r="BA10" i="3"/>
  <c r="AE11" i="3"/>
  <c r="AE12" i="3"/>
  <c r="AD21" i="3"/>
  <c r="DD21" i="3"/>
  <c r="CT25" i="3"/>
  <c r="CU25" i="3" s="1"/>
  <c r="AS33" i="3"/>
  <c r="CA33" i="3"/>
  <c r="CA35" i="3" s="1"/>
  <c r="AL10" i="3"/>
  <c r="AL11" i="3"/>
  <c r="AL12" i="3"/>
  <c r="F33" i="3"/>
  <c r="X33" i="3"/>
  <c r="AX33" i="3"/>
  <c r="BT33" i="3"/>
  <c r="CH33" i="3"/>
  <c r="CT7" i="3"/>
  <c r="BA21" i="3"/>
  <c r="BB21" i="3" s="1"/>
  <c r="CT21" i="3"/>
  <c r="AD24" i="3"/>
  <c r="AZ27" i="3"/>
  <c r="BB27" i="3" s="1"/>
  <c r="CS28" i="3"/>
  <c r="AZ28" i="3"/>
  <c r="AD28" i="3"/>
  <c r="DC33" i="3"/>
  <c r="DD33" i="3" s="1"/>
  <c r="AD8" i="3"/>
  <c r="AZ8" i="3"/>
  <c r="AE9" i="3"/>
  <c r="CT24" i="3"/>
  <c r="AE27" i="3"/>
  <c r="BP33" i="3"/>
  <c r="CY33" i="3"/>
  <c r="CY35" i="3" s="1"/>
  <c r="DD7" i="3"/>
  <c r="AE16" i="3"/>
  <c r="AL16" i="3"/>
  <c r="AL19" i="3"/>
  <c r="AE19" i="3"/>
  <c r="AD20" i="3"/>
  <c r="CS21" i="3"/>
  <c r="BA23" i="3"/>
  <c r="BU24" i="3"/>
  <c r="AE30" i="3"/>
  <c r="BA30" i="3"/>
  <c r="AK23" i="3"/>
  <c r="CT27" i="3"/>
  <c r="CS31" i="3"/>
  <c r="AK20" i="3"/>
  <c r="AL21" i="3"/>
  <c r="CS22" i="3"/>
  <c r="CT23" i="3"/>
  <c r="CU23" i="3" s="1"/>
  <c r="AD31" i="3"/>
  <c r="CT26" i="3"/>
  <c r="AL27" i="3"/>
  <c r="AE29" i="3"/>
  <c r="CS29" i="3"/>
  <c r="CT30" i="3"/>
  <c r="AL31" i="3"/>
  <c r="BA25" i="3"/>
  <c r="AL26" i="3"/>
  <c r="AE28" i="3"/>
  <c r="AD29" i="3"/>
  <c r="AL30" i="3"/>
  <c r="BB9" i="3" l="1"/>
  <c r="AF22" i="3"/>
  <c r="AM8" i="3"/>
  <c r="CE22" i="3"/>
  <c r="CU11" i="3"/>
  <c r="BB16" i="3"/>
  <c r="AM26" i="3"/>
  <c r="CU30" i="3"/>
  <c r="CD26" i="3"/>
  <c r="CU26" i="3"/>
  <c r="BB12" i="3"/>
  <c r="CD19" i="3"/>
  <c r="CU10" i="3"/>
  <c r="CU19" i="3"/>
  <c r="CU22" i="3"/>
  <c r="CU17" i="3"/>
  <c r="BB20" i="3"/>
  <c r="AM17" i="3"/>
  <c r="AM18" i="3"/>
  <c r="CE18" i="3"/>
  <c r="CU14" i="3"/>
  <c r="CE14" i="3"/>
  <c r="CU20" i="3"/>
  <c r="CD14" i="3"/>
  <c r="AH18" i="3"/>
  <c r="AM30" i="3"/>
  <c r="BB25" i="3"/>
  <c r="AM21" i="3"/>
  <c r="CD25" i="3"/>
  <c r="BB10" i="3"/>
  <c r="CU15" i="3"/>
  <c r="AF21" i="3"/>
  <c r="AJ13" i="3"/>
  <c r="CE23" i="3"/>
  <c r="CE13" i="3"/>
  <c r="CD17" i="3"/>
  <c r="CU24" i="3"/>
  <c r="AM29" i="3"/>
  <c r="AM28" i="3"/>
  <c r="AF23" i="3"/>
  <c r="CU9" i="3"/>
  <c r="BB18" i="3"/>
  <c r="CU18" i="3"/>
  <c r="AF17" i="3"/>
  <c r="CD30" i="3"/>
  <c r="BB24" i="3"/>
  <c r="CU12" i="3"/>
  <c r="AM9" i="3"/>
  <c r="AM32" i="3"/>
  <c r="AM23" i="3"/>
  <c r="AH14" i="3"/>
  <c r="AF14" i="3"/>
  <c r="CD32" i="3"/>
  <c r="CD23" i="3"/>
  <c r="CD16" i="3"/>
  <c r="BB8" i="3"/>
  <c r="BB13" i="3"/>
  <c r="BB26" i="3"/>
  <c r="CE8" i="3"/>
  <c r="AF32" i="3"/>
  <c r="AH32" i="3"/>
  <c r="BB29" i="3"/>
  <c r="CD18" i="3"/>
  <c r="CE17" i="3"/>
  <c r="CE20" i="3"/>
  <c r="BB22" i="3"/>
  <c r="AF10" i="3"/>
  <c r="CU32" i="3"/>
  <c r="AF8" i="3"/>
  <c r="CD15" i="3"/>
  <c r="BB17" i="3"/>
  <c r="AM22" i="3"/>
  <c r="AJ32" i="3"/>
  <c r="AM27" i="3"/>
  <c r="CE32" i="3"/>
  <c r="CU29" i="3"/>
  <c r="BB23" i="3"/>
  <c r="CU28" i="3"/>
  <c r="CE21" i="3"/>
  <c r="AJ8" i="3"/>
  <c r="BB30" i="3"/>
  <c r="BB28" i="3"/>
  <c r="BB31" i="3"/>
  <c r="BB15" i="3"/>
  <c r="CU8" i="3"/>
  <c r="AM20" i="3"/>
  <c r="AH11" i="3"/>
  <c r="CD11" i="3"/>
  <c r="AF26" i="3"/>
  <c r="CE26" i="3"/>
  <c r="AJ26" i="3"/>
  <c r="AM10" i="3"/>
  <c r="AF12" i="3"/>
  <c r="CE12" i="3"/>
  <c r="AJ12" i="3"/>
  <c r="BA33" i="3"/>
  <c r="BB7" i="3"/>
  <c r="AD33" i="3"/>
  <c r="CD7" i="3"/>
  <c r="AH7" i="3"/>
  <c r="CS33" i="3"/>
  <c r="CS35" i="3" s="1"/>
  <c r="AF31" i="3"/>
  <c r="AJ31" i="3"/>
  <c r="CE31" i="3"/>
  <c r="AF29" i="3"/>
  <c r="CE29" i="3"/>
  <c r="AJ29" i="3"/>
  <c r="CD31" i="3"/>
  <c r="AH31" i="3"/>
  <c r="AH20" i="3"/>
  <c r="CD20" i="3"/>
  <c r="CD8" i="3"/>
  <c r="AH8" i="3"/>
  <c r="AM24" i="3"/>
  <c r="AK33" i="3"/>
  <c r="AK35" i="3" s="1"/>
  <c r="CE25" i="3"/>
  <c r="AJ25" i="3"/>
  <c r="AF25" i="3"/>
  <c r="AF28" i="3"/>
  <c r="CE28" i="3"/>
  <c r="AJ28" i="3"/>
  <c r="AM31" i="3"/>
  <c r="AJ19" i="3"/>
  <c r="AF19" i="3"/>
  <c r="CE19" i="3"/>
  <c r="AM16" i="3"/>
  <c r="AF20" i="3"/>
  <c r="CU21" i="3"/>
  <c r="BU33" i="3"/>
  <c r="AM12" i="3"/>
  <c r="CD21" i="3"/>
  <c r="AH21" i="3"/>
  <c r="AH27" i="3"/>
  <c r="CD27" i="3"/>
  <c r="AE33" i="3"/>
  <c r="AE35" i="3" s="1"/>
  <c r="AF7" i="3"/>
  <c r="CE7" i="3"/>
  <c r="AJ7" i="3"/>
  <c r="AM15" i="3"/>
  <c r="CE10" i="3"/>
  <c r="AH12" i="3"/>
  <c r="CD12" i="3"/>
  <c r="AZ33" i="3"/>
  <c r="AZ35" i="3" s="1"/>
  <c r="AL33" i="3"/>
  <c r="AL35" i="3" s="1"/>
  <c r="AM7" i="3"/>
  <c r="CU31" i="3"/>
  <c r="AM25" i="3"/>
  <c r="AH29" i="3"/>
  <c r="CD29" i="3"/>
  <c r="AM19" i="3"/>
  <c r="AJ16" i="3"/>
  <c r="AF16" i="3"/>
  <c r="CE16" i="3"/>
  <c r="AF27" i="3"/>
  <c r="AJ27" i="3"/>
  <c r="CE27" i="3"/>
  <c r="CE9" i="3"/>
  <c r="AF9" i="3"/>
  <c r="AJ9" i="3"/>
  <c r="AM11" i="3"/>
  <c r="AM14" i="3"/>
  <c r="AH24" i="3"/>
  <c r="CD24" i="3"/>
  <c r="CT33" i="3"/>
  <c r="CT35" i="3" s="1"/>
  <c r="CU7" i="3"/>
  <c r="AH22" i="3"/>
  <c r="CD22" i="3"/>
  <c r="AJ15" i="3"/>
  <c r="CE15" i="3"/>
  <c r="AF15" i="3"/>
  <c r="AM13" i="3"/>
  <c r="AH10" i="3"/>
  <c r="CD10" i="3"/>
  <c r="CU27" i="3"/>
  <c r="AF30" i="3"/>
  <c r="CE30" i="3"/>
  <c r="AJ30" i="3"/>
  <c r="AH28" i="3"/>
  <c r="CD28" i="3"/>
  <c r="AF11" i="3"/>
  <c r="CE11" i="3"/>
  <c r="AJ11" i="3"/>
  <c r="AH9" i="3"/>
  <c r="CD9" i="3"/>
  <c r="AF24" i="3"/>
  <c r="AH33" i="3" l="1"/>
  <c r="AF33" i="3"/>
  <c r="CD33" i="3"/>
  <c r="AJ33" i="3"/>
  <c r="BB33" i="3"/>
  <c r="CU33" i="3"/>
  <c r="AM33" i="3"/>
  <c r="CE33" i="3"/>
  <c r="L146" i="1" l="1"/>
  <c r="L144" i="1"/>
  <c r="W147" i="1" l="1"/>
  <c r="W144" i="1"/>
  <c r="W145" i="1"/>
  <c r="W146" i="1"/>
  <c r="W141" i="1"/>
  <c r="W139" i="1"/>
  <c r="W140" i="1"/>
  <c r="W138" i="1"/>
  <c r="W137" i="1"/>
  <c r="AC144" i="1"/>
  <c r="AC145" i="1"/>
  <c r="AC146" i="1"/>
  <c r="AC147" i="1"/>
  <c r="AC141" i="1"/>
  <c r="AC139" i="1"/>
  <c r="AC138" i="1"/>
  <c r="AC137" i="1"/>
  <c r="AC112" i="1"/>
  <c r="AC109" i="1"/>
  <c r="AC105" i="1"/>
  <c r="AC106" i="1"/>
  <c r="AC104" i="1"/>
  <c r="AC103" i="1"/>
  <c r="AC102" i="1"/>
  <c r="AC100" i="1"/>
  <c r="AC99" i="1"/>
  <c r="AC98" i="1"/>
  <c r="AC97" i="1"/>
  <c r="AC94" i="1"/>
  <c r="AC95" i="1"/>
  <c r="AC93" i="1"/>
  <c r="AC92" i="1"/>
  <c r="AC91" i="1"/>
  <c r="AC90" i="1"/>
  <c r="AC89" i="1"/>
  <c r="AC88" i="1"/>
  <c r="AC87" i="1"/>
  <c r="AC85" i="1"/>
  <c r="AC77" i="1"/>
  <c r="AC78" i="1"/>
  <c r="AC79" i="1"/>
  <c r="AC80" i="1"/>
  <c r="AC81" i="1"/>
  <c r="AC82" i="1"/>
  <c r="AC83" i="1"/>
  <c r="AC84" i="1"/>
  <c r="AC76" i="1"/>
  <c r="AC75" i="1"/>
  <c r="AC74" i="1"/>
  <c r="AC73" i="1"/>
  <c r="AC68" i="1"/>
  <c r="AC69" i="1"/>
  <c r="AC70" i="1"/>
  <c r="AC71" i="1"/>
  <c r="AC67" i="1"/>
  <c r="AC58" i="1"/>
  <c r="AC59" i="1"/>
  <c r="AC60" i="1"/>
  <c r="AC61" i="1"/>
  <c r="AC62" i="1"/>
  <c r="AC63" i="1"/>
  <c r="AC64" i="1"/>
  <c r="AC65" i="1"/>
  <c r="AC57" i="1"/>
  <c r="AC56" i="1"/>
  <c r="AC55" i="1"/>
  <c r="AC54" i="1"/>
  <c r="AC53" i="1"/>
  <c r="AC52" i="1"/>
  <c r="AC51" i="1"/>
  <c r="AC49" i="1"/>
  <c r="AC50" i="1"/>
  <c r="AC101" i="1"/>
  <c r="W112" i="1"/>
  <c r="W109" i="1"/>
  <c r="W105" i="1"/>
  <c r="W106" i="1"/>
  <c r="W104" i="1"/>
  <c r="W102" i="1"/>
  <c r="W103" i="1"/>
  <c r="W101" i="1"/>
  <c r="W100" i="1"/>
  <c r="W99" i="1"/>
  <c r="W98" i="1"/>
  <c r="W97" i="1"/>
  <c r="W93" i="1"/>
  <c r="W94" i="1"/>
  <c r="W95" i="1"/>
  <c r="W92" i="1"/>
  <c r="W91" i="1"/>
  <c r="W90" i="1"/>
  <c r="W89" i="1"/>
  <c r="W88" i="1"/>
  <c r="W87" i="1"/>
  <c r="W85" i="1"/>
  <c r="W77" i="1"/>
  <c r="W78" i="1"/>
  <c r="W79" i="1"/>
  <c r="W80" i="1"/>
  <c r="W81" i="1"/>
  <c r="W82" i="1"/>
  <c r="W83" i="1"/>
  <c r="W84" i="1"/>
  <c r="W76" i="1"/>
  <c r="W75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57" i="1"/>
  <c r="W56" i="1"/>
  <c r="W55" i="1"/>
  <c r="W53" i="1"/>
  <c r="W51" i="1"/>
  <c r="W54" i="1"/>
  <c r="W52" i="1"/>
  <c r="W50" i="1"/>
  <c r="W49" i="1"/>
  <c r="AC119" i="1"/>
  <c r="W120" i="1"/>
  <c r="W121" i="1"/>
  <c r="W122" i="1"/>
  <c r="W123" i="1"/>
  <c r="W124" i="1"/>
  <c r="W125" i="1"/>
  <c r="W126" i="1"/>
  <c r="W119" i="1"/>
  <c r="M144" i="1"/>
  <c r="M145" i="1"/>
  <c r="M146" i="1"/>
  <c r="M147" i="1"/>
  <c r="Q143" i="1"/>
  <c r="Q142" i="1" s="1"/>
  <c r="M141" i="1"/>
  <c r="M139" i="1"/>
  <c r="M138" i="1"/>
  <c r="M137" i="1"/>
  <c r="R119" i="1"/>
  <c r="S119" i="1"/>
  <c r="T119" i="1"/>
  <c r="M126" i="1"/>
  <c r="M125" i="1"/>
  <c r="M124" i="1"/>
  <c r="M123" i="1"/>
  <c r="M122" i="1"/>
  <c r="M121" i="1"/>
  <c r="M120" i="1"/>
  <c r="M119" i="1"/>
  <c r="E120" i="1"/>
  <c r="E121" i="1"/>
  <c r="E122" i="1"/>
  <c r="E123" i="1"/>
  <c r="E124" i="1"/>
  <c r="E125" i="1"/>
  <c r="E126" i="1"/>
  <c r="E119" i="1"/>
  <c r="M112" i="1"/>
  <c r="M49" i="1"/>
  <c r="E49" i="1"/>
  <c r="M102" i="1" l="1"/>
  <c r="M101" i="1"/>
  <c r="M100" i="1"/>
  <c r="M99" i="1"/>
  <c r="M98" i="1"/>
  <c r="M97" i="1" s="1"/>
  <c r="M96" i="1"/>
  <c r="M95" i="1"/>
  <c r="M94" i="1"/>
  <c r="M93" i="1"/>
  <c r="M92" i="1"/>
  <c r="M91" i="1" s="1"/>
  <c r="M90" i="1"/>
  <c r="M89" i="1" s="1"/>
  <c r="M88" i="1"/>
  <c r="M87" i="1" s="1"/>
  <c r="M86" i="1"/>
  <c r="M85" i="1" s="1"/>
  <c r="M84" i="1"/>
  <c r="M83" i="1"/>
  <c r="M82" i="1"/>
  <c r="M81" i="1" s="1"/>
  <c r="M80" i="1"/>
  <c r="M79" i="1" s="1"/>
  <c r="M78" i="1"/>
  <c r="M77" i="1" s="1"/>
  <c r="M76" i="1"/>
  <c r="M75" i="1" s="1"/>
  <c r="M74" i="1"/>
  <c r="M73" i="1" s="1"/>
  <c r="M72" i="1"/>
  <c r="M71" i="1"/>
  <c r="M70" i="1"/>
  <c r="M69" i="1" s="1"/>
  <c r="M68" i="1"/>
  <c r="M67" i="1"/>
  <c r="M66" i="1"/>
  <c r="M65" i="1" s="1"/>
  <c r="M64" i="1"/>
  <c r="M63" i="1" s="1"/>
  <c r="M62" i="1"/>
  <c r="M61" i="1" s="1"/>
  <c r="M60" i="1"/>
  <c r="M59" i="1" s="1"/>
  <c r="M58" i="1"/>
  <c r="M57" i="1"/>
  <c r="M56" i="1" s="1"/>
  <c r="M55" i="1"/>
  <c r="M54" i="1" s="1"/>
  <c r="M53" i="1"/>
  <c r="M52" i="1" s="1"/>
  <c r="M51" i="1"/>
  <c r="M50" i="1" s="1"/>
  <c r="E102" i="1"/>
  <c r="E101" i="1"/>
  <c r="E100" i="1"/>
  <c r="E99" i="1" s="1"/>
  <c r="E98" i="1"/>
  <c r="E97" i="1"/>
  <c r="E96" i="1"/>
  <c r="E95" i="1" s="1"/>
  <c r="E94" i="1"/>
  <c r="E93" i="1"/>
  <c r="E58" i="1"/>
  <c r="E92" i="1"/>
  <c r="E91" i="1" s="1"/>
  <c r="E90" i="1"/>
  <c r="E89" i="1" s="1"/>
  <c r="E88" i="1"/>
  <c r="E87" i="1" s="1"/>
  <c r="E86" i="1"/>
  <c r="E85" i="1"/>
  <c r="E84" i="1"/>
  <c r="E83" i="1"/>
  <c r="E82" i="1"/>
  <c r="E81" i="1" s="1"/>
  <c r="E80" i="1"/>
  <c r="E79" i="1" s="1"/>
  <c r="E78" i="1"/>
  <c r="E77" i="1" s="1"/>
  <c r="E76" i="1"/>
  <c r="E75" i="1" s="1"/>
  <c r="E74" i="1"/>
  <c r="E73" i="1" s="1"/>
  <c r="E72" i="1"/>
  <c r="E71" i="1"/>
  <c r="E70" i="1"/>
  <c r="E69" i="1" s="1"/>
  <c r="E68" i="1"/>
  <c r="E67" i="1"/>
  <c r="E66" i="1"/>
  <c r="E65" i="1"/>
  <c r="E64" i="1"/>
  <c r="E63" i="1" s="1"/>
  <c r="E62" i="1"/>
  <c r="E61" i="1" s="1"/>
  <c r="E60" i="1"/>
  <c r="E59" i="1" s="1"/>
  <c r="E57" i="1"/>
  <c r="E56" i="1" s="1"/>
  <c r="E55" i="1"/>
  <c r="E54" i="1" s="1"/>
  <c r="E53" i="1"/>
  <c r="E52" i="1" s="1"/>
  <c r="E51" i="1"/>
  <c r="E50" i="1" s="1"/>
  <c r="N37" i="1" l="1"/>
  <c r="O37" i="1"/>
  <c r="P37" i="1"/>
  <c r="Q37" i="1"/>
  <c r="Q38" i="1" s="1"/>
  <c r="F37" i="1"/>
  <c r="G37" i="1"/>
  <c r="H37" i="1"/>
  <c r="I37" i="1"/>
  <c r="I38" i="1" s="1"/>
  <c r="J37" i="1"/>
  <c r="K37" i="1"/>
  <c r="L37" i="1"/>
  <c r="B37" i="1"/>
  <c r="C37" i="1"/>
  <c r="D37" i="1"/>
  <c r="S37" i="1" s="1"/>
  <c r="Q39" i="1"/>
  <c r="Q40" i="1"/>
  <c r="I39" i="1"/>
  <c r="I40" i="1" s="1"/>
  <c r="M34" i="1"/>
  <c r="Z34" i="1" s="1"/>
  <c r="E34" i="1"/>
  <c r="T34" i="1" s="1"/>
  <c r="AH32" i="1"/>
  <c r="AF32" i="1"/>
  <c r="AD32" i="1"/>
  <c r="AE31" i="1"/>
  <c r="AD31" i="1"/>
  <c r="M42" i="1"/>
  <c r="E42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W30" i="1"/>
  <c r="W31" i="1"/>
  <c r="W32" i="1"/>
  <c r="W33" i="1"/>
  <c r="W34" i="1"/>
  <c r="W35" i="1"/>
  <c r="W36" i="1"/>
  <c r="W27" i="1"/>
  <c r="W28" i="1"/>
  <c r="W29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11" i="1"/>
  <c r="W12" i="1"/>
  <c r="AC10" i="1"/>
  <c r="W10" i="1"/>
  <c r="Q9" i="1"/>
  <c r="Q107" i="1"/>
  <c r="Q108" i="1" s="1"/>
  <c r="Q110" i="1"/>
  <c r="I107" i="1"/>
  <c r="I108" i="1" s="1"/>
  <c r="M109" i="1"/>
  <c r="M10" i="1" s="1"/>
  <c r="M36" i="1"/>
  <c r="Z36" i="1" s="1"/>
  <c r="M35" i="1"/>
  <c r="M33" i="1"/>
  <c r="M32" i="1"/>
  <c r="Z32" i="1" s="1"/>
  <c r="M31" i="1"/>
  <c r="Z31" i="1" s="1"/>
  <c r="M28" i="1"/>
  <c r="Z28" i="1" s="1"/>
  <c r="M27" i="1"/>
  <c r="M26" i="1"/>
  <c r="Z26" i="1" s="1"/>
  <c r="M25" i="1"/>
  <c r="Z25" i="1" s="1"/>
  <c r="M24" i="1"/>
  <c r="M23" i="1"/>
  <c r="Z23" i="1" s="1"/>
  <c r="M22" i="1"/>
  <c r="Z22" i="1" s="1"/>
  <c r="M21" i="1"/>
  <c r="M20" i="1"/>
  <c r="M19" i="1"/>
  <c r="Z19" i="1" s="1"/>
  <c r="M18" i="1"/>
  <c r="Z18" i="1" s="1"/>
  <c r="M17" i="1"/>
  <c r="M16" i="1"/>
  <c r="M15" i="1"/>
  <c r="Z15" i="1" s="1"/>
  <c r="M14" i="1"/>
  <c r="M13" i="1"/>
  <c r="M12" i="1"/>
  <c r="M11" i="1"/>
  <c r="Z11" i="1" s="1"/>
  <c r="E112" i="1"/>
  <c r="T112" i="1" s="1"/>
  <c r="E109" i="1"/>
  <c r="E10" i="1" s="1"/>
  <c r="Z35" i="1"/>
  <c r="Z33" i="1"/>
  <c r="E35" i="1"/>
  <c r="T35" i="1" s="1"/>
  <c r="E33" i="1"/>
  <c r="E32" i="1"/>
  <c r="T32" i="1" s="1"/>
  <c r="E31" i="1"/>
  <c r="T31" i="1" s="1"/>
  <c r="E30" i="1"/>
  <c r="E28" i="1"/>
  <c r="T28" i="1" s="1"/>
  <c r="E27" i="1"/>
  <c r="T27" i="1" s="1"/>
  <c r="E26" i="1"/>
  <c r="T26" i="1" s="1"/>
  <c r="E13" i="1"/>
  <c r="E14" i="1"/>
  <c r="E15" i="1"/>
  <c r="T15" i="1" s="1"/>
  <c r="E16" i="1"/>
  <c r="T16" i="1" s="1"/>
  <c r="E17" i="1"/>
  <c r="E18" i="1"/>
  <c r="E19" i="1"/>
  <c r="T19" i="1" s="1"/>
  <c r="E20" i="1"/>
  <c r="T20" i="1" s="1"/>
  <c r="E21" i="1"/>
  <c r="E22" i="1"/>
  <c r="E23" i="1"/>
  <c r="T23" i="1" s="1"/>
  <c r="E24" i="1"/>
  <c r="T24" i="1" s="1"/>
  <c r="E25" i="1"/>
  <c r="E12" i="1"/>
  <c r="E11" i="1"/>
  <c r="T11" i="1" s="1"/>
  <c r="I9" i="1"/>
  <c r="F107" i="1"/>
  <c r="G107" i="1"/>
  <c r="H107" i="1"/>
  <c r="J107" i="1"/>
  <c r="J108" i="1" s="1"/>
  <c r="X108" i="1" s="1"/>
  <c r="K107" i="1"/>
  <c r="K108" i="1" s="1"/>
  <c r="L107" i="1"/>
  <c r="L108" i="1" s="1"/>
  <c r="Y108" i="1" s="1"/>
  <c r="B107" i="1"/>
  <c r="R107" i="1" s="1"/>
  <c r="C107" i="1"/>
  <c r="C108" i="1" s="1"/>
  <c r="D107" i="1"/>
  <c r="D108" i="1" s="1"/>
  <c r="S108" i="1" s="1"/>
  <c r="E147" i="1"/>
  <c r="T147" i="1" s="1"/>
  <c r="D147" i="1"/>
  <c r="B147" i="1" s="1"/>
  <c r="R147" i="1" s="1"/>
  <c r="E146" i="1"/>
  <c r="D146" i="1"/>
  <c r="E145" i="1"/>
  <c r="T145" i="1" s="1"/>
  <c r="B145" i="1"/>
  <c r="R145" i="1" s="1"/>
  <c r="E144" i="1"/>
  <c r="T144" i="1" s="1"/>
  <c r="D144" i="1"/>
  <c r="B144" i="1" s="1"/>
  <c r="R144" i="1" s="1"/>
  <c r="H143" i="1"/>
  <c r="G143" i="1"/>
  <c r="G142" i="1" s="1"/>
  <c r="F143" i="1"/>
  <c r="D143" i="1"/>
  <c r="E141" i="1"/>
  <c r="H140" i="1"/>
  <c r="G140" i="1"/>
  <c r="F140" i="1"/>
  <c r="E139" i="1"/>
  <c r="D139" i="1"/>
  <c r="B139" i="1" s="1"/>
  <c r="R139" i="1" s="1"/>
  <c r="E138" i="1"/>
  <c r="B138" i="1"/>
  <c r="E137" i="1"/>
  <c r="T137" i="1" s="1"/>
  <c r="D137" i="1"/>
  <c r="B137" i="1" s="1"/>
  <c r="AB147" i="1"/>
  <c r="AA147" i="1"/>
  <c r="V147" i="1"/>
  <c r="U147" i="1"/>
  <c r="Z147" i="1"/>
  <c r="Y147" i="1"/>
  <c r="AB146" i="1"/>
  <c r="AA146" i="1"/>
  <c r="V146" i="1"/>
  <c r="U146" i="1"/>
  <c r="Z146" i="1"/>
  <c r="Y146" i="1"/>
  <c r="AB145" i="1"/>
  <c r="AA145" i="1"/>
  <c r="Y145" i="1"/>
  <c r="V145" i="1"/>
  <c r="U145" i="1"/>
  <c r="AG145" i="1" s="1"/>
  <c r="S145" i="1"/>
  <c r="Z145" i="1"/>
  <c r="J145" i="1"/>
  <c r="X145" i="1" s="1"/>
  <c r="AB144" i="1"/>
  <c r="AA144" i="1"/>
  <c r="V144" i="1"/>
  <c r="U144" i="1"/>
  <c r="Z144" i="1"/>
  <c r="J144" i="1"/>
  <c r="X144" i="1" s="1"/>
  <c r="P143" i="1"/>
  <c r="AC143" i="1" s="1"/>
  <c r="O143" i="1"/>
  <c r="N143" i="1"/>
  <c r="AA141" i="1"/>
  <c r="Y141" i="1"/>
  <c r="U141" i="1"/>
  <c r="S141" i="1"/>
  <c r="AB141" i="1"/>
  <c r="P140" i="1"/>
  <c r="AC140" i="1" s="1"/>
  <c r="O140" i="1"/>
  <c r="AB140" i="1" s="1"/>
  <c r="N140" i="1"/>
  <c r="M140" i="1" s="1"/>
  <c r="V140" i="1"/>
  <c r="AB139" i="1"/>
  <c r="AA139" i="1"/>
  <c r="V139" i="1"/>
  <c r="U139" i="1"/>
  <c r="Z139" i="1"/>
  <c r="L139" i="1"/>
  <c r="Y139" i="1" s="1"/>
  <c r="AB138" i="1"/>
  <c r="AA138" i="1"/>
  <c r="Y138" i="1"/>
  <c r="AI138" i="1"/>
  <c r="V138" i="1"/>
  <c r="U138" i="1"/>
  <c r="S138" i="1"/>
  <c r="AB137" i="1"/>
  <c r="AA137" i="1"/>
  <c r="V137" i="1"/>
  <c r="U137" i="1"/>
  <c r="Z137" i="1"/>
  <c r="K127" i="1"/>
  <c r="C127" i="1"/>
  <c r="AC126" i="1"/>
  <c r="AB126" i="1"/>
  <c r="AA126" i="1"/>
  <c r="Y126" i="1"/>
  <c r="X126" i="1"/>
  <c r="V126" i="1"/>
  <c r="U126" i="1"/>
  <c r="S126" i="1"/>
  <c r="R126" i="1"/>
  <c r="Z126" i="1"/>
  <c r="T126" i="1"/>
  <c r="AC125" i="1"/>
  <c r="AB125" i="1"/>
  <c r="AA125" i="1"/>
  <c r="Y125" i="1"/>
  <c r="X125" i="1"/>
  <c r="V125" i="1"/>
  <c r="U125" i="1"/>
  <c r="S125" i="1"/>
  <c r="R125" i="1"/>
  <c r="Z125" i="1"/>
  <c r="T125" i="1"/>
  <c r="AC124" i="1"/>
  <c r="AB124" i="1"/>
  <c r="AA124" i="1"/>
  <c r="Y124" i="1"/>
  <c r="X124" i="1"/>
  <c r="V124" i="1"/>
  <c r="U124" i="1"/>
  <c r="S124" i="1"/>
  <c r="R124" i="1"/>
  <c r="Z124" i="1"/>
  <c r="T124" i="1"/>
  <c r="AC123" i="1"/>
  <c r="AB123" i="1"/>
  <c r="AA123" i="1"/>
  <c r="Y123" i="1"/>
  <c r="X123" i="1"/>
  <c r="V123" i="1"/>
  <c r="U123" i="1"/>
  <c r="S123" i="1"/>
  <c r="R123" i="1"/>
  <c r="Z123" i="1"/>
  <c r="T123" i="1"/>
  <c r="AC122" i="1"/>
  <c r="AB122" i="1"/>
  <c r="AA122" i="1"/>
  <c r="Y122" i="1"/>
  <c r="X122" i="1"/>
  <c r="V122" i="1"/>
  <c r="U122" i="1"/>
  <c r="S122" i="1"/>
  <c r="R122" i="1"/>
  <c r="Z122" i="1"/>
  <c r="T122" i="1"/>
  <c r="AC121" i="1"/>
  <c r="AB121" i="1"/>
  <c r="AA121" i="1"/>
  <c r="Y121" i="1"/>
  <c r="X121" i="1"/>
  <c r="V121" i="1"/>
  <c r="U121" i="1"/>
  <c r="S121" i="1"/>
  <c r="R121" i="1"/>
  <c r="Z121" i="1"/>
  <c r="T121" i="1"/>
  <c r="AC120" i="1"/>
  <c r="AB120" i="1"/>
  <c r="AA120" i="1"/>
  <c r="Y120" i="1"/>
  <c r="X120" i="1"/>
  <c r="V120" i="1"/>
  <c r="U120" i="1"/>
  <c r="S120" i="1"/>
  <c r="R120" i="1"/>
  <c r="Z120" i="1"/>
  <c r="T120" i="1"/>
  <c r="AB119" i="1"/>
  <c r="AA119" i="1"/>
  <c r="Y119" i="1"/>
  <c r="X119" i="1"/>
  <c r="V119" i="1"/>
  <c r="U119" i="1"/>
  <c r="Z119" i="1"/>
  <c r="AB112" i="1"/>
  <c r="AA112" i="1"/>
  <c r="Y112" i="1"/>
  <c r="X112" i="1"/>
  <c r="V112" i="1"/>
  <c r="U112" i="1"/>
  <c r="S112" i="1"/>
  <c r="R112" i="1"/>
  <c r="Z112" i="1"/>
  <c r="P110" i="1"/>
  <c r="O110" i="1"/>
  <c r="N110" i="1"/>
  <c r="L110" i="1"/>
  <c r="K110" i="1"/>
  <c r="J110" i="1"/>
  <c r="H110" i="1"/>
  <c r="G110" i="1"/>
  <c r="F110" i="1"/>
  <c r="D110" i="1"/>
  <c r="C110" i="1"/>
  <c r="B110" i="1"/>
  <c r="AB109" i="1"/>
  <c r="Z9" i="1" s="1"/>
  <c r="AA109" i="1"/>
  <c r="Y109" i="1"/>
  <c r="X109" i="1"/>
  <c r="V109" i="1"/>
  <c r="U109" i="1"/>
  <c r="S109" i="1"/>
  <c r="R109" i="1"/>
  <c r="Z109" i="1"/>
  <c r="P107" i="1"/>
  <c r="O107" i="1"/>
  <c r="AB107" i="1" s="1"/>
  <c r="N107" i="1"/>
  <c r="AB106" i="1"/>
  <c r="AA106" i="1"/>
  <c r="Y106" i="1"/>
  <c r="X106" i="1"/>
  <c r="V106" i="1"/>
  <c r="U106" i="1"/>
  <c r="S106" i="1"/>
  <c r="R106" i="1"/>
  <c r="AB105" i="1"/>
  <c r="AA105" i="1"/>
  <c r="Y105" i="1"/>
  <c r="X105" i="1"/>
  <c r="V105" i="1"/>
  <c r="U105" i="1"/>
  <c r="S105" i="1"/>
  <c r="R105" i="1"/>
  <c r="AB104" i="1"/>
  <c r="AA104" i="1"/>
  <c r="Y104" i="1"/>
  <c r="X104" i="1"/>
  <c r="V104" i="1"/>
  <c r="U104" i="1"/>
  <c r="S104" i="1"/>
  <c r="R104" i="1"/>
  <c r="AB103" i="1"/>
  <c r="AA103" i="1"/>
  <c r="Y103" i="1"/>
  <c r="X103" i="1"/>
  <c r="V103" i="1"/>
  <c r="U103" i="1"/>
  <c r="S103" i="1"/>
  <c r="R103" i="1"/>
  <c r="AB102" i="1"/>
  <c r="AA102" i="1"/>
  <c r="Y102" i="1"/>
  <c r="X102" i="1"/>
  <c r="V102" i="1"/>
  <c r="U102" i="1"/>
  <c r="S102" i="1"/>
  <c r="AE102" i="1" s="1"/>
  <c r="R102" i="1"/>
  <c r="Z102" i="1"/>
  <c r="T102" i="1"/>
  <c r="AB101" i="1"/>
  <c r="AA101" i="1"/>
  <c r="Y101" i="1"/>
  <c r="X101" i="1"/>
  <c r="V101" i="1"/>
  <c r="U101" i="1"/>
  <c r="S101" i="1"/>
  <c r="R101" i="1"/>
  <c r="Z101" i="1"/>
  <c r="T101" i="1"/>
  <c r="AB100" i="1"/>
  <c r="Y100" i="1"/>
  <c r="V100" i="1"/>
  <c r="S100" i="1"/>
  <c r="AB99" i="1"/>
  <c r="AA99" i="1"/>
  <c r="Y99" i="1"/>
  <c r="X99" i="1"/>
  <c r="V99" i="1"/>
  <c r="U99" i="1"/>
  <c r="S99" i="1"/>
  <c r="R99" i="1"/>
  <c r="Z99" i="1"/>
  <c r="T99" i="1"/>
  <c r="AB98" i="1"/>
  <c r="Y98" i="1"/>
  <c r="X98" i="1"/>
  <c r="V98" i="1"/>
  <c r="S98" i="1"/>
  <c r="R98" i="1"/>
  <c r="Z97" i="1"/>
  <c r="T97" i="1"/>
  <c r="AB97" i="1"/>
  <c r="AA97" i="1"/>
  <c r="Y97" i="1"/>
  <c r="X97" i="1"/>
  <c r="V97" i="1"/>
  <c r="U97" i="1"/>
  <c r="S97" i="1"/>
  <c r="R97" i="1"/>
  <c r="AB96" i="1"/>
  <c r="Y96" i="1"/>
  <c r="X96" i="1"/>
  <c r="V96" i="1"/>
  <c r="S96" i="1"/>
  <c r="R96" i="1"/>
  <c r="Z95" i="1"/>
  <c r="T95" i="1"/>
  <c r="AB95" i="1"/>
  <c r="AA95" i="1"/>
  <c r="Y95" i="1"/>
  <c r="X95" i="1"/>
  <c r="V95" i="1"/>
  <c r="U95" i="1"/>
  <c r="S95" i="1"/>
  <c r="R95" i="1"/>
  <c r="AB94" i="1"/>
  <c r="AA94" i="1"/>
  <c r="Y94" i="1"/>
  <c r="X94" i="1"/>
  <c r="V94" i="1"/>
  <c r="U94" i="1"/>
  <c r="S94" i="1"/>
  <c r="R94" i="1"/>
  <c r="Z94" i="1"/>
  <c r="T94" i="1"/>
  <c r="AB93" i="1"/>
  <c r="AA93" i="1"/>
  <c r="Y93" i="1"/>
  <c r="X93" i="1"/>
  <c r="V93" i="1"/>
  <c r="U93" i="1"/>
  <c r="S93" i="1"/>
  <c r="R93" i="1"/>
  <c r="Z93" i="1"/>
  <c r="T93" i="1"/>
  <c r="AB92" i="1"/>
  <c r="AA92" i="1"/>
  <c r="Y92" i="1"/>
  <c r="X92" i="1"/>
  <c r="V92" i="1"/>
  <c r="U92" i="1"/>
  <c r="S92" i="1"/>
  <c r="Z91" i="1"/>
  <c r="T91" i="1"/>
  <c r="AB91" i="1"/>
  <c r="AA91" i="1"/>
  <c r="Y91" i="1"/>
  <c r="X91" i="1"/>
  <c r="V91" i="1"/>
  <c r="U91" i="1"/>
  <c r="S91" i="1"/>
  <c r="R91" i="1"/>
  <c r="AB90" i="1"/>
  <c r="Y90" i="1"/>
  <c r="V90" i="1"/>
  <c r="S90" i="1"/>
  <c r="R90" i="1"/>
  <c r="AB89" i="1"/>
  <c r="AA89" i="1"/>
  <c r="Y89" i="1"/>
  <c r="X89" i="1"/>
  <c r="V89" i="1"/>
  <c r="U89" i="1"/>
  <c r="S89" i="1"/>
  <c r="R89" i="1"/>
  <c r="Z89" i="1"/>
  <c r="T89" i="1"/>
  <c r="AB88" i="1"/>
  <c r="Y88" i="1"/>
  <c r="X88" i="1"/>
  <c r="V88" i="1"/>
  <c r="S88" i="1"/>
  <c r="R88" i="1"/>
  <c r="Z87" i="1"/>
  <c r="T87" i="1"/>
  <c r="AB87" i="1"/>
  <c r="AA87" i="1"/>
  <c r="Y87" i="1"/>
  <c r="X87" i="1"/>
  <c r="V87" i="1"/>
  <c r="U87" i="1"/>
  <c r="S87" i="1"/>
  <c r="R87" i="1"/>
  <c r="AB86" i="1"/>
  <c r="Y86" i="1"/>
  <c r="V86" i="1"/>
  <c r="S86" i="1"/>
  <c r="AB85" i="1"/>
  <c r="AA85" i="1"/>
  <c r="Y85" i="1"/>
  <c r="X85" i="1"/>
  <c r="V85" i="1"/>
  <c r="U85" i="1"/>
  <c r="S85" i="1"/>
  <c r="R85" i="1"/>
  <c r="Z85" i="1"/>
  <c r="T85" i="1"/>
  <c r="AB84" i="1"/>
  <c r="Y84" i="1"/>
  <c r="V84" i="1"/>
  <c r="S84" i="1"/>
  <c r="AB83" i="1"/>
  <c r="AA83" i="1"/>
  <c r="Y83" i="1"/>
  <c r="X83" i="1"/>
  <c r="V83" i="1"/>
  <c r="U83" i="1"/>
  <c r="S83" i="1"/>
  <c r="R83" i="1"/>
  <c r="Z83" i="1"/>
  <c r="T83" i="1"/>
  <c r="AB82" i="1"/>
  <c r="Y82" i="1"/>
  <c r="V82" i="1"/>
  <c r="S82" i="1"/>
  <c r="AB81" i="1"/>
  <c r="AA81" i="1"/>
  <c r="Y81" i="1"/>
  <c r="X81" i="1"/>
  <c r="V81" i="1"/>
  <c r="U81" i="1"/>
  <c r="S81" i="1"/>
  <c r="R81" i="1"/>
  <c r="Z81" i="1"/>
  <c r="T81" i="1"/>
  <c r="AB80" i="1"/>
  <c r="Y80" i="1"/>
  <c r="V80" i="1"/>
  <c r="S80" i="1"/>
  <c r="T79" i="1"/>
  <c r="AB79" i="1"/>
  <c r="AA79" i="1"/>
  <c r="Y79" i="1"/>
  <c r="X79" i="1"/>
  <c r="V79" i="1"/>
  <c r="U79" i="1"/>
  <c r="S79" i="1"/>
  <c r="R79" i="1"/>
  <c r="Z79" i="1"/>
  <c r="AB78" i="1"/>
  <c r="Y78" i="1"/>
  <c r="V78" i="1"/>
  <c r="S78" i="1"/>
  <c r="AB77" i="1"/>
  <c r="AA77" i="1"/>
  <c r="Y77" i="1"/>
  <c r="X77" i="1"/>
  <c r="V77" i="1"/>
  <c r="U77" i="1"/>
  <c r="S77" i="1"/>
  <c r="R77" i="1"/>
  <c r="Z77" i="1"/>
  <c r="T77" i="1"/>
  <c r="AB76" i="1"/>
  <c r="Y76" i="1"/>
  <c r="X76" i="1"/>
  <c r="V76" i="1"/>
  <c r="S76" i="1"/>
  <c r="R76" i="1"/>
  <c r="AB75" i="1"/>
  <c r="AA75" i="1"/>
  <c r="Y75" i="1"/>
  <c r="X75" i="1"/>
  <c r="V75" i="1"/>
  <c r="U75" i="1"/>
  <c r="S75" i="1"/>
  <c r="R75" i="1"/>
  <c r="Z75" i="1"/>
  <c r="T75" i="1"/>
  <c r="AB74" i="1"/>
  <c r="Y74" i="1"/>
  <c r="X74" i="1"/>
  <c r="V74" i="1"/>
  <c r="U74" i="1"/>
  <c r="S74" i="1"/>
  <c r="R74" i="1"/>
  <c r="T74" i="1"/>
  <c r="AB73" i="1"/>
  <c r="AA73" i="1"/>
  <c r="Y73" i="1"/>
  <c r="X73" i="1"/>
  <c r="V73" i="1"/>
  <c r="U73" i="1"/>
  <c r="S73" i="1"/>
  <c r="R73" i="1"/>
  <c r="Z73" i="1"/>
  <c r="T73" i="1"/>
  <c r="AB72" i="1"/>
  <c r="Y72" i="1"/>
  <c r="V72" i="1"/>
  <c r="S72" i="1"/>
  <c r="AB71" i="1"/>
  <c r="AA71" i="1"/>
  <c r="Y71" i="1"/>
  <c r="X71" i="1"/>
  <c r="V71" i="1"/>
  <c r="U71" i="1"/>
  <c r="S71" i="1"/>
  <c r="R71" i="1"/>
  <c r="Z71" i="1"/>
  <c r="T71" i="1"/>
  <c r="AB70" i="1"/>
  <c r="Y70" i="1"/>
  <c r="X70" i="1"/>
  <c r="V70" i="1"/>
  <c r="S70" i="1"/>
  <c r="R70" i="1"/>
  <c r="Z69" i="1"/>
  <c r="T69" i="1"/>
  <c r="AB69" i="1"/>
  <c r="AA69" i="1"/>
  <c r="Y69" i="1"/>
  <c r="X69" i="1"/>
  <c r="V69" i="1"/>
  <c r="AH69" i="1" s="1"/>
  <c r="U69" i="1"/>
  <c r="S69" i="1"/>
  <c r="R69" i="1"/>
  <c r="AB68" i="1"/>
  <c r="Y68" i="1"/>
  <c r="V68" i="1"/>
  <c r="S68" i="1"/>
  <c r="T67" i="1"/>
  <c r="AB67" i="1"/>
  <c r="AA67" i="1"/>
  <c r="Y67" i="1"/>
  <c r="X67" i="1"/>
  <c r="V67" i="1"/>
  <c r="U67" i="1"/>
  <c r="S67" i="1"/>
  <c r="R67" i="1"/>
  <c r="Z67" i="1"/>
  <c r="AB66" i="1"/>
  <c r="Y66" i="1"/>
  <c r="V66" i="1"/>
  <c r="S66" i="1"/>
  <c r="T65" i="1"/>
  <c r="AB65" i="1"/>
  <c r="AA65" i="1"/>
  <c r="Y65" i="1"/>
  <c r="X65" i="1"/>
  <c r="V65" i="1"/>
  <c r="U65" i="1"/>
  <c r="S65" i="1"/>
  <c r="R65" i="1"/>
  <c r="Z65" i="1"/>
  <c r="AB64" i="1"/>
  <c r="Y64" i="1"/>
  <c r="V64" i="1"/>
  <c r="S64" i="1"/>
  <c r="T63" i="1"/>
  <c r="AB63" i="1"/>
  <c r="AA63" i="1"/>
  <c r="Y63" i="1"/>
  <c r="X63" i="1"/>
  <c r="V63" i="1"/>
  <c r="U63" i="1"/>
  <c r="S63" i="1"/>
  <c r="R63" i="1"/>
  <c r="Z63" i="1"/>
  <c r="AB62" i="1"/>
  <c r="AH62" i="1" s="1"/>
  <c r="Y62" i="1"/>
  <c r="AE62" i="1" s="1"/>
  <c r="V62" i="1"/>
  <c r="S62" i="1"/>
  <c r="Z61" i="1"/>
  <c r="T61" i="1"/>
  <c r="AB61" i="1"/>
  <c r="AA61" i="1"/>
  <c r="Y61" i="1"/>
  <c r="X61" i="1"/>
  <c r="V61" i="1"/>
  <c r="U61" i="1"/>
  <c r="S61" i="1"/>
  <c r="R61" i="1"/>
  <c r="AB60" i="1"/>
  <c r="Y60" i="1"/>
  <c r="V60" i="1"/>
  <c r="S60" i="1"/>
  <c r="Z59" i="1"/>
  <c r="T59" i="1"/>
  <c r="AB59" i="1"/>
  <c r="AA59" i="1"/>
  <c r="Y59" i="1"/>
  <c r="X59" i="1"/>
  <c r="V59" i="1"/>
  <c r="U59" i="1"/>
  <c r="AG59" i="1" s="1"/>
  <c r="S59" i="1"/>
  <c r="R59" i="1"/>
  <c r="AB58" i="1"/>
  <c r="AA58" i="1"/>
  <c r="Y58" i="1"/>
  <c r="X58" i="1"/>
  <c r="V58" i="1"/>
  <c r="U58" i="1"/>
  <c r="S58" i="1"/>
  <c r="R58" i="1"/>
  <c r="Z58" i="1"/>
  <c r="T58" i="1"/>
  <c r="AB57" i="1"/>
  <c r="Y57" i="1"/>
  <c r="X57" i="1"/>
  <c r="V57" i="1"/>
  <c r="S57" i="1"/>
  <c r="R57" i="1"/>
  <c r="Z56" i="1"/>
  <c r="T56" i="1"/>
  <c r="AB56" i="1"/>
  <c r="AA56" i="1"/>
  <c r="Y56" i="1"/>
  <c r="X56" i="1"/>
  <c r="V56" i="1"/>
  <c r="U56" i="1"/>
  <c r="S56" i="1"/>
  <c r="R56" i="1"/>
  <c r="AB55" i="1"/>
  <c r="AA55" i="1"/>
  <c r="Y55" i="1"/>
  <c r="V55" i="1"/>
  <c r="S55" i="1"/>
  <c r="Z54" i="1"/>
  <c r="T54" i="1"/>
  <c r="AB54" i="1"/>
  <c r="AA54" i="1"/>
  <c r="Y54" i="1"/>
  <c r="X54" i="1"/>
  <c r="V54" i="1"/>
  <c r="U54" i="1"/>
  <c r="AG54" i="1" s="1"/>
  <c r="S54" i="1"/>
  <c r="R54" i="1"/>
  <c r="AB53" i="1"/>
  <c r="Y53" i="1"/>
  <c r="X53" i="1"/>
  <c r="V53" i="1"/>
  <c r="S53" i="1"/>
  <c r="R53" i="1"/>
  <c r="AB52" i="1"/>
  <c r="AA52" i="1"/>
  <c r="Y52" i="1"/>
  <c r="X52" i="1"/>
  <c r="V52" i="1"/>
  <c r="U52" i="1"/>
  <c r="S52" i="1"/>
  <c r="R52" i="1"/>
  <c r="Z52" i="1"/>
  <c r="T52" i="1"/>
  <c r="AB51" i="1"/>
  <c r="Y51" i="1"/>
  <c r="V51" i="1"/>
  <c r="S51" i="1"/>
  <c r="R51" i="1"/>
  <c r="AD51" i="1" s="1"/>
  <c r="Z50" i="1"/>
  <c r="AB50" i="1"/>
  <c r="AA50" i="1"/>
  <c r="Y50" i="1"/>
  <c r="X50" i="1"/>
  <c r="V50" i="1"/>
  <c r="U50" i="1"/>
  <c r="S50" i="1"/>
  <c r="R50" i="1"/>
  <c r="AB49" i="1"/>
  <c r="AA49" i="1"/>
  <c r="Y49" i="1"/>
  <c r="X49" i="1"/>
  <c r="V49" i="1"/>
  <c r="U49" i="1"/>
  <c r="S49" i="1"/>
  <c r="R49" i="1"/>
  <c r="P39" i="1"/>
  <c r="P40" i="1" s="1"/>
  <c r="O39" i="1"/>
  <c r="O40" i="1" s="1"/>
  <c r="N39" i="1"/>
  <c r="N40" i="1" s="1"/>
  <c r="L39" i="1"/>
  <c r="L40" i="1" s="1"/>
  <c r="K39" i="1"/>
  <c r="K40" i="1" s="1"/>
  <c r="J39" i="1"/>
  <c r="J40" i="1" s="1"/>
  <c r="H39" i="1"/>
  <c r="H40" i="1" s="1"/>
  <c r="G39" i="1"/>
  <c r="G40" i="1" s="1"/>
  <c r="F39" i="1"/>
  <c r="F40" i="1" s="1"/>
  <c r="D39" i="1"/>
  <c r="D40" i="1" s="1"/>
  <c r="C39" i="1"/>
  <c r="C40" i="1" s="1"/>
  <c r="B39" i="1"/>
  <c r="B40" i="1" s="1"/>
  <c r="AB37" i="1"/>
  <c r="K38" i="1"/>
  <c r="U37" i="1"/>
  <c r="C38" i="1"/>
  <c r="AB36" i="1"/>
  <c r="AA36" i="1"/>
  <c r="Y36" i="1"/>
  <c r="X36" i="1"/>
  <c r="V36" i="1"/>
  <c r="U36" i="1"/>
  <c r="S36" i="1"/>
  <c r="R36" i="1"/>
  <c r="E36" i="1"/>
  <c r="T36" i="1" s="1"/>
  <c r="AB35" i="1"/>
  <c r="AA35" i="1"/>
  <c r="Y35" i="1"/>
  <c r="X35" i="1"/>
  <c r="V35" i="1"/>
  <c r="U35" i="1"/>
  <c r="S35" i="1"/>
  <c r="R35" i="1"/>
  <c r="AB34" i="1"/>
  <c r="AA34" i="1"/>
  <c r="Y34" i="1"/>
  <c r="X34" i="1"/>
  <c r="V34" i="1"/>
  <c r="U34" i="1"/>
  <c r="S34" i="1"/>
  <c r="R34" i="1"/>
  <c r="AB33" i="1"/>
  <c r="AA33" i="1"/>
  <c r="Y33" i="1"/>
  <c r="X33" i="1"/>
  <c r="V33" i="1"/>
  <c r="U33" i="1"/>
  <c r="S33" i="1"/>
  <c r="R33" i="1"/>
  <c r="T33" i="1"/>
  <c r="AB32" i="1"/>
  <c r="AA32" i="1"/>
  <c r="Y32" i="1"/>
  <c r="X32" i="1"/>
  <c r="V32" i="1"/>
  <c r="U32" i="1"/>
  <c r="S32" i="1"/>
  <c r="R32" i="1"/>
  <c r="AB31" i="1"/>
  <c r="AA31" i="1"/>
  <c r="Y31" i="1"/>
  <c r="X31" i="1"/>
  <c r="V31" i="1"/>
  <c r="U31" i="1"/>
  <c r="S31" i="1"/>
  <c r="R31" i="1"/>
  <c r="AB30" i="1"/>
  <c r="AA30" i="1"/>
  <c r="Y30" i="1"/>
  <c r="X30" i="1"/>
  <c r="V30" i="1"/>
  <c r="U30" i="1"/>
  <c r="S30" i="1"/>
  <c r="R30" i="1"/>
  <c r="AB29" i="1"/>
  <c r="AA29" i="1"/>
  <c r="Y29" i="1"/>
  <c r="X29" i="1"/>
  <c r="V29" i="1"/>
  <c r="U29" i="1"/>
  <c r="S29" i="1"/>
  <c r="R29" i="1"/>
  <c r="AB28" i="1"/>
  <c r="AA28" i="1"/>
  <c r="Y28" i="1"/>
  <c r="X28" i="1"/>
  <c r="V28" i="1"/>
  <c r="U28" i="1"/>
  <c r="S28" i="1"/>
  <c r="R28" i="1"/>
  <c r="AB27" i="1"/>
  <c r="AA27" i="1"/>
  <c r="Y27" i="1"/>
  <c r="X27" i="1"/>
  <c r="U27" i="1"/>
  <c r="R27" i="1"/>
  <c r="AB26" i="1"/>
  <c r="AA26" i="1"/>
  <c r="Y26" i="1"/>
  <c r="X26" i="1"/>
  <c r="V26" i="1"/>
  <c r="U26" i="1"/>
  <c r="S26" i="1"/>
  <c r="R26" i="1"/>
  <c r="AB25" i="1"/>
  <c r="AA25" i="1"/>
  <c r="Y25" i="1"/>
  <c r="X25" i="1"/>
  <c r="V25" i="1"/>
  <c r="U25" i="1"/>
  <c r="S25" i="1"/>
  <c r="R25" i="1"/>
  <c r="T25" i="1"/>
  <c r="AB24" i="1"/>
  <c r="AA24" i="1"/>
  <c r="Y24" i="1"/>
  <c r="X24" i="1"/>
  <c r="V24" i="1"/>
  <c r="U24" i="1"/>
  <c r="S24" i="1"/>
  <c r="R24" i="1"/>
  <c r="Z24" i="1"/>
  <c r="AB23" i="1"/>
  <c r="AA23" i="1"/>
  <c r="Y23" i="1"/>
  <c r="X23" i="1"/>
  <c r="V23" i="1"/>
  <c r="U23" i="1"/>
  <c r="S23" i="1"/>
  <c r="R23" i="1"/>
  <c r="AB22" i="1"/>
  <c r="AA22" i="1"/>
  <c r="Y22" i="1"/>
  <c r="X22" i="1"/>
  <c r="V22" i="1"/>
  <c r="U22" i="1"/>
  <c r="S22" i="1"/>
  <c r="R22" i="1"/>
  <c r="T22" i="1"/>
  <c r="AB21" i="1"/>
  <c r="AA21" i="1"/>
  <c r="Y21" i="1"/>
  <c r="X21" i="1"/>
  <c r="V21" i="1"/>
  <c r="U21" i="1"/>
  <c r="S21" i="1"/>
  <c r="R21" i="1"/>
  <c r="Z21" i="1"/>
  <c r="T21" i="1"/>
  <c r="AB20" i="1"/>
  <c r="AA20" i="1"/>
  <c r="Y20" i="1"/>
  <c r="X20" i="1"/>
  <c r="V20" i="1"/>
  <c r="U20" i="1"/>
  <c r="S20" i="1"/>
  <c r="R20" i="1"/>
  <c r="Z20" i="1"/>
  <c r="AB19" i="1"/>
  <c r="AA19" i="1"/>
  <c r="Y19" i="1"/>
  <c r="X19" i="1"/>
  <c r="V19" i="1"/>
  <c r="U19" i="1"/>
  <c r="S19" i="1"/>
  <c r="R19" i="1"/>
  <c r="AB18" i="1"/>
  <c r="AA18" i="1"/>
  <c r="Y18" i="1"/>
  <c r="X18" i="1"/>
  <c r="V18" i="1"/>
  <c r="U18" i="1"/>
  <c r="S18" i="1"/>
  <c r="R18" i="1"/>
  <c r="T18" i="1"/>
  <c r="AB17" i="1"/>
  <c r="AA17" i="1"/>
  <c r="Y17" i="1"/>
  <c r="X17" i="1"/>
  <c r="V17" i="1"/>
  <c r="U17" i="1"/>
  <c r="S17" i="1"/>
  <c r="R17" i="1"/>
  <c r="Z17" i="1"/>
  <c r="T17" i="1"/>
  <c r="AB16" i="1"/>
  <c r="AA16" i="1"/>
  <c r="Y16" i="1"/>
  <c r="X16" i="1"/>
  <c r="V16" i="1"/>
  <c r="U16" i="1"/>
  <c r="S16" i="1"/>
  <c r="R16" i="1"/>
  <c r="Z16" i="1"/>
  <c r="AB15" i="1"/>
  <c r="AA15" i="1"/>
  <c r="Y15" i="1"/>
  <c r="X15" i="1"/>
  <c r="V15" i="1"/>
  <c r="U15" i="1"/>
  <c r="S15" i="1"/>
  <c r="R15" i="1"/>
  <c r="AB14" i="1"/>
  <c r="AA14" i="1"/>
  <c r="Y14" i="1"/>
  <c r="X14" i="1"/>
  <c r="V14" i="1"/>
  <c r="U14" i="1"/>
  <c r="S14" i="1"/>
  <c r="R14" i="1"/>
  <c r="T14" i="1"/>
  <c r="AB13" i="1"/>
  <c r="AA13" i="1"/>
  <c r="Y13" i="1"/>
  <c r="X13" i="1"/>
  <c r="V13" i="1"/>
  <c r="U13" i="1"/>
  <c r="S13" i="1"/>
  <c r="R13" i="1"/>
  <c r="T13" i="1"/>
  <c r="AB12" i="1"/>
  <c r="AA12" i="1"/>
  <c r="Y12" i="1"/>
  <c r="X12" i="1"/>
  <c r="V12" i="1"/>
  <c r="U12" i="1"/>
  <c r="S12" i="1"/>
  <c r="R12" i="1"/>
  <c r="Z12" i="1"/>
  <c r="AB11" i="1"/>
  <c r="AA11" i="1"/>
  <c r="Y11" i="1"/>
  <c r="X11" i="1"/>
  <c r="AK11" i="1" s="1"/>
  <c r="V11" i="1"/>
  <c r="U11" i="1"/>
  <c r="S11" i="1"/>
  <c r="R11" i="1"/>
  <c r="AB10" i="1"/>
  <c r="AA10" i="1"/>
  <c r="Y10" i="1"/>
  <c r="X10" i="1"/>
  <c r="V10" i="1"/>
  <c r="U10" i="1"/>
  <c r="S10" i="1"/>
  <c r="R10" i="1"/>
  <c r="P9" i="1"/>
  <c r="O9" i="1"/>
  <c r="N9" i="1"/>
  <c r="L9" i="1"/>
  <c r="K9" i="1"/>
  <c r="J9" i="1"/>
  <c r="H9" i="1"/>
  <c r="G9" i="1"/>
  <c r="F9" i="1"/>
  <c r="D9" i="1"/>
  <c r="C9" i="1"/>
  <c r="B9" i="1"/>
  <c r="AL3" i="1"/>
  <c r="H142" i="1" l="1"/>
  <c r="W142" i="1" s="1"/>
  <c r="W143" i="1"/>
  <c r="M143" i="1"/>
  <c r="E143" i="1"/>
  <c r="T143" i="1" s="1"/>
  <c r="P108" i="1"/>
  <c r="AC108" i="1" s="1"/>
  <c r="AC107" i="1"/>
  <c r="H108" i="1"/>
  <c r="W108" i="1" s="1"/>
  <c r="W107" i="1"/>
  <c r="B141" i="1"/>
  <c r="AD105" i="1"/>
  <c r="AI100" i="1"/>
  <c r="L111" i="1"/>
  <c r="L113" i="1" s="1"/>
  <c r="AG69" i="1"/>
  <c r="AC37" i="1"/>
  <c r="W37" i="1"/>
  <c r="AI70" i="1"/>
  <c r="AE68" i="1"/>
  <c r="AG56" i="1"/>
  <c r="P111" i="1"/>
  <c r="AI140" i="1"/>
  <c r="AF69" i="1"/>
  <c r="E140" i="1"/>
  <c r="B140" i="1" s="1"/>
  <c r="M29" i="1"/>
  <c r="AI77" i="1"/>
  <c r="AH102" i="1"/>
  <c r="I111" i="1"/>
  <c r="I113" i="1" s="1"/>
  <c r="AE49" i="1"/>
  <c r="AE51" i="1"/>
  <c r="AI73" i="1"/>
  <c r="AE75" i="1"/>
  <c r="AH77" i="1"/>
  <c r="AD79" i="1"/>
  <c r="AE109" i="1"/>
  <c r="D142" i="1"/>
  <c r="B146" i="1"/>
  <c r="Q111" i="1"/>
  <c r="Q113" i="1" s="1"/>
  <c r="M37" i="1"/>
  <c r="T109" i="1"/>
  <c r="AF109" i="1" s="1"/>
  <c r="E29" i="1"/>
  <c r="T29" i="1" s="1"/>
  <c r="T9" i="1"/>
  <c r="M9" i="1"/>
  <c r="AH138" i="1"/>
  <c r="AI139" i="1"/>
  <c r="AE33" i="1"/>
  <c r="AI49" i="1"/>
  <c r="Z14" i="1"/>
  <c r="AF14" i="1" s="1"/>
  <c r="AI69" i="1"/>
  <c r="AI54" i="1"/>
  <c r="AH55" i="1"/>
  <c r="AG139" i="1"/>
  <c r="AI56" i="1"/>
  <c r="AI59" i="1"/>
  <c r="AH63" i="1"/>
  <c r="Z49" i="1"/>
  <c r="AH49" i="1"/>
  <c r="AH72" i="1"/>
  <c r="AG77" i="1"/>
  <c r="AH79" i="1"/>
  <c r="AH103" i="1"/>
  <c r="AH68" i="1"/>
  <c r="AI50" i="1"/>
  <c r="AH52" i="1"/>
  <c r="AG83" i="1"/>
  <c r="AG87" i="1"/>
  <c r="AI89" i="1"/>
  <c r="AG49" i="1"/>
  <c r="AD49" i="1"/>
  <c r="AH51" i="1"/>
  <c r="AI60" i="1"/>
  <c r="AD56" i="1"/>
  <c r="AD59" i="1"/>
  <c r="AE73" i="1"/>
  <c r="AE79" i="1"/>
  <c r="AE97" i="1"/>
  <c r="AE103" i="1"/>
  <c r="AE105" i="1"/>
  <c r="AD52" i="1"/>
  <c r="AE53" i="1"/>
  <c r="AE82" i="1"/>
  <c r="AH13" i="1"/>
  <c r="AG29" i="1"/>
  <c r="AI15" i="1"/>
  <c r="AD29" i="1"/>
  <c r="AD25" i="1"/>
  <c r="AE29" i="1"/>
  <c r="S39" i="1"/>
  <c r="S40" i="1" s="1"/>
  <c r="AD30" i="1"/>
  <c r="AI99" i="1"/>
  <c r="H111" i="1"/>
  <c r="N111" i="1"/>
  <c r="N113" i="1" s="1"/>
  <c r="AH54" i="1"/>
  <c r="AE55" i="1"/>
  <c r="AI63" i="1"/>
  <c r="AE64" i="1"/>
  <c r="AD65" i="1"/>
  <c r="AI65" i="1"/>
  <c r="AH87" i="1"/>
  <c r="AE89" i="1"/>
  <c r="AG91" i="1"/>
  <c r="AI97" i="1"/>
  <c r="AG99" i="1"/>
  <c r="AE101" i="1"/>
  <c r="AI109" i="1"/>
  <c r="AE67" i="1"/>
  <c r="AE70" i="1"/>
  <c r="AI74" i="1"/>
  <c r="AG97" i="1"/>
  <c r="AD99" i="1"/>
  <c r="T10" i="1"/>
  <c r="J111" i="1"/>
  <c r="J127" i="1" s="1"/>
  <c r="X127" i="1" s="1"/>
  <c r="T49" i="1"/>
  <c r="AI67" i="1"/>
  <c r="AI78" i="1"/>
  <c r="AF81" i="1"/>
  <c r="B108" i="1"/>
  <c r="R108" i="1" s="1"/>
  <c r="AH14" i="1"/>
  <c r="AH25" i="1"/>
  <c r="AD10" i="1"/>
  <c r="AI10" i="1"/>
  <c r="AD11" i="1"/>
  <c r="AI11" i="1"/>
  <c r="AK12" i="1"/>
  <c r="AD13" i="1"/>
  <c r="AE16" i="1"/>
  <c r="AK16" i="1"/>
  <c r="AK19" i="1"/>
  <c r="AE22" i="1"/>
  <c r="AF33" i="1"/>
  <c r="AG35" i="1"/>
  <c r="D38" i="1"/>
  <c r="AH15" i="1"/>
  <c r="AH22" i="1"/>
  <c r="AI36" i="1"/>
  <c r="AG10" i="1"/>
  <c r="AG11" i="1"/>
  <c r="AG23" i="1"/>
  <c r="AG25" i="1"/>
  <c r="AG26" i="1"/>
  <c r="D111" i="1"/>
  <c r="D127" i="1" s="1"/>
  <c r="S127" i="1" s="1"/>
  <c r="AI147" i="1"/>
  <c r="J137" i="1"/>
  <c r="X137" i="1" s="1"/>
  <c r="AF137" i="1"/>
  <c r="AG144" i="1"/>
  <c r="F142" i="1"/>
  <c r="U142" i="1" s="1"/>
  <c r="AF144" i="1"/>
  <c r="AK144" i="1" s="1"/>
  <c r="V142" i="1"/>
  <c r="S137" i="1"/>
  <c r="S139" i="1"/>
  <c r="AE139" i="1" s="1"/>
  <c r="AH140" i="1"/>
  <c r="S146" i="1"/>
  <c r="AE146" i="1" s="1"/>
  <c r="AG147" i="1"/>
  <c r="AI16" i="1"/>
  <c r="AD20" i="1"/>
  <c r="AI22" i="1"/>
  <c r="AI23" i="1"/>
  <c r="AD33" i="1"/>
  <c r="AD35" i="1"/>
  <c r="H38" i="1"/>
  <c r="AH58" i="1"/>
  <c r="AE77" i="1"/>
  <c r="AI83" i="1"/>
  <c r="AD102" i="1"/>
  <c r="S147" i="1"/>
  <c r="AE147" i="1" s="1"/>
  <c r="Z10" i="1"/>
  <c r="AG13" i="1"/>
  <c r="AG14" i="1"/>
  <c r="AE15" i="1"/>
  <c r="AE17" i="1"/>
  <c r="AE20" i="1"/>
  <c r="AE23" i="1"/>
  <c r="AE25" i="1"/>
  <c r="AG30" i="1"/>
  <c r="AG52" i="1"/>
  <c r="AH56" i="1"/>
  <c r="AF56" i="1"/>
  <c r="AI57" i="1"/>
  <c r="AE58" i="1"/>
  <c r="AE60" i="1"/>
  <c r="AD61" i="1"/>
  <c r="AD74" i="1"/>
  <c r="AD75" i="1"/>
  <c r="AE85" i="1"/>
  <c r="AE87" i="1"/>
  <c r="AH89" i="1"/>
  <c r="AF101" i="1"/>
  <c r="AE104" i="1"/>
  <c r="O108" i="1"/>
  <c r="AB108" i="1" s="1"/>
  <c r="AD109" i="1"/>
  <c r="AG138" i="1"/>
  <c r="J139" i="1"/>
  <c r="X139" i="1" s="1"/>
  <c r="AD139" i="1" s="1"/>
  <c r="AH139" i="1"/>
  <c r="AF147" i="1"/>
  <c r="AK147" i="1" s="1"/>
  <c r="AI98" i="1"/>
  <c r="AE12" i="1"/>
  <c r="AE13" i="1"/>
  <c r="AD18" i="1"/>
  <c r="AD21" i="1"/>
  <c r="AD22" i="1"/>
  <c r="Z29" i="1"/>
  <c r="AI35" i="1"/>
  <c r="AD36" i="1"/>
  <c r="AE52" i="1"/>
  <c r="AF54" i="1"/>
  <c r="AG79" i="1"/>
  <c r="AD83" i="1"/>
  <c r="AD85" i="1"/>
  <c r="AI90" i="1"/>
  <c r="AH97" i="1"/>
  <c r="AE138" i="1"/>
  <c r="AK15" i="1"/>
  <c r="AG15" i="1"/>
  <c r="AF18" i="1"/>
  <c r="AH18" i="1"/>
  <c r="AK21" i="1"/>
  <c r="AG21" i="1"/>
  <c r="AH23" i="1"/>
  <c r="AF24" i="1"/>
  <c r="T42" i="1"/>
  <c r="X37" i="1"/>
  <c r="AE50" i="1"/>
  <c r="AH64" i="1"/>
  <c r="AI68" i="1"/>
  <c r="AF75" i="1"/>
  <c r="AH76" i="1"/>
  <c r="AH78" i="1"/>
  <c r="AI81" i="1"/>
  <c r="AE90" i="1"/>
  <c r="AE96" i="1"/>
  <c r="AH100" i="1"/>
  <c r="AG102" i="1"/>
  <c r="AD103" i="1"/>
  <c r="S107" i="1"/>
  <c r="AE141" i="1"/>
  <c r="L143" i="1"/>
  <c r="Y144" i="1"/>
  <c r="AC39" i="1"/>
  <c r="AC40" i="1" s="1"/>
  <c r="AE76" i="1"/>
  <c r="AE10" i="1"/>
  <c r="AD14" i="1"/>
  <c r="AD15" i="1"/>
  <c r="AI24" i="1"/>
  <c r="AD50" i="1"/>
  <c r="AE65" i="1"/>
  <c r="AE74" i="1"/>
  <c r="AD88" i="1"/>
  <c r="AD98" i="1"/>
  <c r="AI145" i="1"/>
  <c r="AE14" i="1"/>
  <c r="AD16" i="1"/>
  <c r="AG20" i="1"/>
  <c r="AE21" i="1"/>
  <c r="AE35" i="1"/>
  <c r="AE36" i="1"/>
  <c r="Y37" i="1"/>
  <c r="AE37" i="1" s="1"/>
  <c r="AF52" i="1"/>
  <c r="AE54" i="1"/>
  <c r="AE56" i="1"/>
  <c r="AD57" i="1"/>
  <c r="AD58" i="1"/>
  <c r="AE59" i="1"/>
  <c r="AE61" i="1"/>
  <c r="AH67" i="1"/>
  <c r="AE72" i="1"/>
  <c r="AH73" i="1"/>
  <c r="AH74" i="1"/>
  <c r="AG75" i="1"/>
  <c r="AI76" i="1"/>
  <c r="AI79" i="1"/>
  <c r="AG81" i="1"/>
  <c r="AE83" i="1"/>
  <c r="AI84" i="1"/>
  <c r="AD87" i="1"/>
  <c r="AI87" i="1"/>
  <c r="AE88" i="1"/>
  <c r="AF89" i="1"/>
  <c r="AG89" i="1"/>
  <c r="AD91" i="1"/>
  <c r="AD96" i="1"/>
  <c r="AD97" i="1"/>
  <c r="AI102" i="1"/>
  <c r="AH104" i="1"/>
  <c r="V107" i="1"/>
  <c r="AH107" i="1" s="1"/>
  <c r="G108" i="1"/>
  <c r="V108" i="1" s="1"/>
  <c r="R137" i="1"/>
  <c r="AG141" i="1"/>
  <c r="AA143" i="1"/>
  <c r="N142" i="1"/>
  <c r="AE145" i="1"/>
  <c r="AG146" i="1"/>
  <c r="AH146" i="1"/>
  <c r="AK17" i="1"/>
  <c r="AK22" i="1"/>
  <c r="AF91" i="1"/>
  <c r="U140" i="1"/>
  <c r="AE11" i="1"/>
  <c r="AI14" i="1"/>
  <c r="AF23" i="1"/>
  <c r="AE63" i="1"/>
  <c r="AG67" i="1"/>
  <c r="AE69" i="1"/>
  <c r="AD71" i="1"/>
  <c r="AG73" i="1"/>
  <c r="AF77" i="1"/>
  <c r="AH91" i="1"/>
  <c r="AD93" i="1"/>
  <c r="AD94" i="1"/>
  <c r="AE99" i="1"/>
  <c r="T139" i="1"/>
  <c r="AF139" i="1" s="1"/>
  <c r="AF15" i="1"/>
  <c r="AI18" i="1"/>
  <c r="AH10" i="1"/>
  <c r="AH11" i="1"/>
  <c r="AI13" i="1"/>
  <c r="AG16" i="1"/>
  <c r="AD17" i="1"/>
  <c r="AG18" i="1"/>
  <c r="AE18" i="1"/>
  <c r="AI20" i="1"/>
  <c r="AH20" i="1"/>
  <c r="AH21" i="1"/>
  <c r="AF25" i="1"/>
  <c r="AI26" i="1"/>
  <c r="AM34" i="1"/>
  <c r="AI29" i="1"/>
  <c r="AH30" i="1"/>
  <c r="AG33" i="1"/>
  <c r="AH36" i="1"/>
  <c r="Z42" i="1"/>
  <c r="AG50" i="1"/>
  <c r="AI51" i="1"/>
  <c r="AH53" i="1"/>
  <c r="AE57" i="1"/>
  <c r="AE80" i="1"/>
  <c r="AH81" i="1"/>
  <c r="AF83" i="1"/>
  <c r="AG85" i="1"/>
  <c r="AE91" i="1"/>
  <c r="AH95" i="1"/>
  <c r="N108" i="1"/>
  <c r="AA108" i="1" s="1"/>
  <c r="AA107" i="1"/>
  <c r="J138" i="1"/>
  <c r="X138" i="1" s="1"/>
  <c r="Z138" i="1"/>
  <c r="V141" i="1"/>
  <c r="AH141" i="1" s="1"/>
  <c r="AB143" i="1"/>
  <c r="O142" i="1"/>
  <c r="AB142" i="1" s="1"/>
  <c r="T146" i="1"/>
  <c r="AF146" i="1" s="1"/>
  <c r="AK146" i="1" s="1"/>
  <c r="R146" i="1"/>
  <c r="AD95" i="1"/>
  <c r="AE98" i="1"/>
  <c r="AH99" i="1"/>
  <c r="AD101" i="1"/>
  <c r="AI101" i="1"/>
  <c r="AG101" i="1"/>
  <c r="AF102" i="1"/>
  <c r="AH106" i="1"/>
  <c r="AG137" i="1"/>
  <c r="AH137" i="1"/>
  <c r="AI141" i="1"/>
  <c r="AD144" i="1"/>
  <c r="AH144" i="1"/>
  <c r="AI146" i="1"/>
  <c r="AH147" i="1"/>
  <c r="AG22" i="1"/>
  <c r="AD23" i="1"/>
  <c r="AE24" i="1"/>
  <c r="AI25" i="1"/>
  <c r="AH29" i="1"/>
  <c r="E39" i="1"/>
  <c r="E40" i="1" s="1"/>
  <c r="AI33" i="1"/>
  <c r="AH33" i="1"/>
  <c r="AH35" i="1"/>
  <c r="AG36" i="1"/>
  <c r="AH50" i="1"/>
  <c r="AI52" i="1"/>
  <c r="AD54" i="1"/>
  <c r="AI55" i="1"/>
  <c r="AH57" i="1"/>
  <c r="AF58" i="1"/>
  <c r="AH59" i="1"/>
  <c r="AI61" i="1"/>
  <c r="AD63" i="1"/>
  <c r="AH66" i="1"/>
  <c r="AD67" i="1"/>
  <c r="AD69" i="1"/>
  <c r="AD73" i="1"/>
  <c r="AI75" i="1"/>
  <c r="AH75" i="1"/>
  <c r="AD76" i="1"/>
  <c r="AD77" i="1"/>
  <c r="AI80" i="1"/>
  <c r="AE81" i="1"/>
  <c r="AD81" i="1"/>
  <c r="AH82" i="1"/>
  <c r="AI82" i="1"/>
  <c r="AH83" i="1"/>
  <c r="AH85" i="1"/>
  <c r="AH86" i="1"/>
  <c r="AD89" i="1"/>
  <c r="AE92" i="1"/>
  <c r="AE93" i="1"/>
  <c r="AE94" i="1"/>
  <c r="AG95" i="1"/>
  <c r="AE95" i="1"/>
  <c r="AE100" i="1"/>
  <c r="AH105" i="1"/>
  <c r="AI137" i="1"/>
  <c r="AI144" i="1"/>
  <c r="AD145" i="1"/>
  <c r="AH145" i="1"/>
  <c r="AF35" i="1"/>
  <c r="AF59" i="1"/>
  <c r="AF65" i="1"/>
  <c r="AF11" i="1"/>
  <c r="AF20" i="1"/>
  <c r="Z13" i="1"/>
  <c r="AK13" i="1" s="1"/>
  <c r="AF67" i="1"/>
  <c r="AK23" i="1"/>
  <c r="AF36" i="1"/>
  <c r="P38" i="1"/>
  <c r="W39" i="1"/>
  <c r="W40" i="1" s="1"/>
  <c r="Z48" i="1"/>
  <c r="AI58" i="1"/>
  <c r="AF61" i="1"/>
  <c r="AF85" i="1"/>
  <c r="AK14" i="1"/>
  <c r="AF22" i="1"/>
  <c r="AK24" i="1"/>
  <c r="AD24" i="1"/>
  <c r="U39" i="1"/>
  <c r="U40" i="1" s="1"/>
  <c r="AK31" i="1"/>
  <c r="AL31" i="1" s="1"/>
  <c r="AK33" i="1"/>
  <c r="AL33" i="1" s="1"/>
  <c r="AK35" i="1"/>
  <c r="AL35" i="1" s="1"/>
  <c r="AE71" i="1"/>
  <c r="AF73" i="1"/>
  <c r="AF87" i="1"/>
  <c r="T138" i="1"/>
  <c r="R138" i="1"/>
  <c r="T140" i="1"/>
  <c r="R140" i="1"/>
  <c r="AK18" i="1"/>
  <c r="AK25" i="1"/>
  <c r="AI30" i="1"/>
  <c r="F111" i="1"/>
  <c r="F38" i="1"/>
  <c r="AB39" i="1"/>
  <c r="AB40" i="1" s="1"/>
  <c r="AH98" i="1"/>
  <c r="AF21" i="1"/>
  <c r="AK26" i="1"/>
  <c r="AL26" i="1" s="1"/>
  <c r="AD26" i="1"/>
  <c r="T30" i="1"/>
  <c r="T39" i="1" s="1"/>
  <c r="B111" i="1"/>
  <c r="B38" i="1"/>
  <c r="R37" i="1"/>
  <c r="G111" i="1"/>
  <c r="V37" i="1"/>
  <c r="AH37" i="1" s="1"/>
  <c r="G38" i="1"/>
  <c r="AH88" i="1"/>
  <c r="AF16" i="1"/>
  <c r="AF26" i="1"/>
  <c r="M39" i="1"/>
  <c r="M40" i="1" s="1"/>
  <c r="Y39" i="1"/>
  <c r="Y40" i="1" s="1"/>
  <c r="AE30" i="1"/>
  <c r="AK32" i="1"/>
  <c r="AL32" i="1" s="1"/>
  <c r="X39" i="1"/>
  <c r="X40" i="1" s="1"/>
  <c r="AF63" i="1"/>
  <c r="E37" i="1"/>
  <c r="E9" i="1"/>
  <c r="T12" i="1"/>
  <c r="AD12" i="1"/>
  <c r="AK20" i="1"/>
  <c r="Z27" i="1"/>
  <c r="AK27" i="1" s="1"/>
  <c r="AL27" i="1" s="1"/>
  <c r="R39" i="1"/>
  <c r="R40" i="1" s="1"/>
  <c r="V39" i="1"/>
  <c r="V40" i="1" s="1"/>
  <c r="AK36" i="1"/>
  <c r="AL36" i="1" s="1"/>
  <c r="O111" i="1"/>
  <c r="O38" i="1"/>
  <c r="L38" i="1"/>
  <c r="AA39" i="1"/>
  <c r="AA40" i="1" s="1"/>
  <c r="E107" i="1"/>
  <c r="AH61" i="1"/>
  <c r="AF71" i="1"/>
  <c r="AF95" i="1"/>
  <c r="AF97" i="1"/>
  <c r="AF99" i="1"/>
  <c r="AH70" i="1"/>
  <c r="AF79" i="1"/>
  <c r="AI143" i="1"/>
  <c r="P142" i="1"/>
  <c r="AC142" i="1" s="1"/>
  <c r="J38" i="1"/>
  <c r="N38" i="1"/>
  <c r="T50" i="1"/>
  <c r="AF50" i="1" s="1"/>
  <c r="E110" i="1"/>
  <c r="AH90" i="1"/>
  <c r="AE106" i="1"/>
  <c r="U143" i="1"/>
  <c r="Z143" i="1"/>
  <c r="J147" i="1"/>
  <c r="X147" i="1" s="1"/>
  <c r="AD147" i="1" s="1"/>
  <c r="Z30" i="1"/>
  <c r="AK30" i="1" s="1"/>
  <c r="AL30" i="1" s="1"/>
  <c r="AM30" i="1" s="1"/>
  <c r="AA37" i="1"/>
  <c r="AG37" i="1" s="1"/>
  <c r="M107" i="1"/>
  <c r="M110" i="1"/>
  <c r="AG71" i="1"/>
  <c r="AE78" i="1"/>
  <c r="AH80" i="1"/>
  <c r="F108" i="1"/>
  <c r="U108" i="1" s="1"/>
  <c r="U107" i="1"/>
  <c r="X107" i="1"/>
  <c r="AD107" i="1" s="1"/>
  <c r="Y137" i="1"/>
  <c r="AA140" i="1"/>
  <c r="AG140" i="1" s="1"/>
  <c r="AF145" i="1"/>
  <c r="AK145" i="1" s="1"/>
  <c r="Y107" i="1"/>
  <c r="AH109" i="1"/>
  <c r="T141" i="1"/>
  <c r="R141" i="1"/>
  <c r="V143" i="1"/>
  <c r="S144" i="1"/>
  <c r="J146" i="1"/>
  <c r="X146" i="1" s="1"/>
  <c r="AD146" i="1" s="1"/>
  <c r="AG143" i="1" l="1"/>
  <c r="P127" i="1"/>
  <c r="AC127" i="1" s="1"/>
  <c r="AC111" i="1"/>
  <c r="AC113" i="1" s="1"/>
  <c r="W113" i="1"/>
  <c r="W111" i="1"/>
  <c r="AA142" i="1"/>
  <c r="Z142" i="1"/>
  <c r="AE144" i="1"/>
  <c r="Y111" i="1"/>
  <c r="Y113" i="1" s="1"/>
  <c r="L127" i="1"/>
  <c r="Y127" i="1" s="1"/>
  <c r="AE127" i="1" s="1"/>
  <c r="P113" i="1"/>
  <c r="AF49" i="1"/>
  <c r="T40" i="1"/>
  <c r="AF29" i="1"/>
  <c r="AM37" i="1"/>
  <c r="AH142" i="1"/>
  <c r="S111" i="1"/>
  <c r="S113" i="1" s="1"/>
  <c r="AF10" i="1"/>
  <c r="X111" i="1"/>
  <c r="X113" i="1" s="1"/>
  <c r="D113" i="1"/>
  <c r="AG107" i="1"/>
  <c r="H113" i="1"/>
  <c r="J113" i="1"/>
  <c r="AA111" i="1"/>
  <c r="AA113" i="1" s="1"/>
  <c r="N127" i="1"/>
  <c r="AA127" i="1" s="1"/>
  <c r="H127" i="1"/>
  <c r="W127" i="1" s="1"/>
  <c r="AI127" i="1" s="1"/>
  <c r="AD37" i="1"/>
  <c r="AD137" i="1"/>
  <c r="AG142" i="1"/>
  <c r="L142" i="1"/>
  <c r="Y142" i="1" s="1"/>
  <c r="E142" i="1"/>
  <c r="Y143" i="1"/>
  <c r="AH143" i="1"/>
  <c r="AI142" i="1"/>
  <c r="AE137" i="1"/>
  <c r="AK29" i="1"/>
  <c r="AL29" i="1" s="1"/>
  <c r="AD138" i="1"/>
  <c r="AI107" i="1"/>
  <c r="M38" i="1"/>
  <c r="AF138" i="1"/>
  <c r="AE107" i="1"/>
  <c r="AI37" i="1"/>
  <c r="V111" i="1"/>
  <c r="V113" i="1" s="1"/>
  <c r="G127" i="1"/>
  <c r="V127" i="1" s="1"/>
  <c r="G113" i="1"/>
  <c r="J140" i="1"/>
  <c r="X140" i="1" s="1"/>
  <c r="AD140" i="1" s="1"/>
  <c r="Z140" i="1"/>
  <c r="AF140" i="1" s="1"/>
  <c r="E111" i="1"/>
  <c r="E38" i="1"/>
  <c r="T37" i="1"/>
  <c r="U111" i="1"/>
  <c r="U113" i="1" s="1"/>
  <c r="F113" i="1"/>
  <c r="F127" i="1"/>
  <c r="U127" i="1" s="1"/>
  <c r="J141" i="1"/>
  <c r="X141" i="1" s="1"/>
  <c r="Z141" i="1"/>
  <c r="AF141" i="1" s="1"/>
  <c r="Z39" i="1"/>
  <c r="Z40" i="1" s="1"/>
  <c r="AF30" i="1"/>
  <c r="AF143" i="1"/>
  <c r="AK143" i="1" s="1"/>
  <c r="O113" i="1"/>
  <c r="AB111" i="1"/>
  <c r="AB113" i="1" s="1"/>
  <c r="O127" i="1"/>
  <c r="AB127" i="1" s="1"/>
  <c r="AF13" i="1"/>
  <c r="AM19" i="1"/>
  <c r="S143" i="1"/>
  <c r="R143" i="1"/>
  <c r="AD143" i="1" s="1"/>
  <c r="Z107" i="1"/>
  <c r="M108" i="1"/>
  <c r="Z108" i="1" s="1"/>
  <c r="E108" i="1"/>
  <c r="T108" i="1" s="1"/>
  <c r="T107" i="1"/>
  <c r="R111" i="1"/>
  <c r="R113" i="1" s="1"/>
  <c r="B127" i="1"/>
  <c r="R127" i="1" s="1"/>
  <c r="AD127" i="1" s="1"/>
  <c r="B113" i="1"/>
  <c r="AE143" i="1" l="1"/>
  <c r="M111" i="1"/>
  <c r="M127" i="1" s="1"/>
  <c r="Z127" i="1" s="1"/>
  <c r="Z37" i="1"/>
  <c r="AF37" i="1" s="1"/>
  <c r="AG127" i="1"/>
  <c r="R142" i="1"/>
  <c r="T142" i="1"/>
  <c r="AF142" i="1" s="1"/>
  <c r="AK142" i="1" s="1"/>
  <c r="AF107" i="1"/>
  <c r="S142" i="1"/>
  <c r="AE142" i="1" s="1"/>
  <c r="E113" i="1"/>
  <c r="E127" i="1"/>
  <c r="T127" i="1" s="1"/>
  <c r="T111" i="1"/>
  <c r="T113" i="1" s="1"/>
  <c r="AH127" i="1"/>
  <c r="AD141" i="1"/>
  <c r="AD142" i="1" l="1"/>
  <c r="M113" i="1"/>
  <c r="AK37" i="1"/>
  <c r="AL37" i="1" s="1"/>
  <c r="Z111" i="1"/>
  <c r="Z113" i="1" s="1"/>
  <c r="AF127" i="1"/>
</calcChain>
</file>

<file path=xl/sharedStrings.xml><?xml version="1.0" encoding="utf-8"?>
<sst xmlns="http://schemas.openxmlformats.org/spreadsheetml/2006/main" count="1415" uniqueCount="428">
  <si>
    <t>Показатели</t>
  </si>
  <si>
    <t>Процент выполнения (%)</t>
  </si>
  <si>
    <t>Консоли-дирован-ный бюджет области</t>
  </si>
  <si>
    <t>в том числе бюджеты:</t>
  </si>
  <si>
    <t>из них бюджеты:</t>
  </si>
  <si>
    <t>суммы подлежащие исключению</t>
  </si>
  <si>
    <t>област-ной</t>
  </si>
  <si>
    <t>консоли-дирован-ные бюджеты МО</t>
  </si>
  <si>
    <t>в т.ч.:</t>
  </si>
  <si>
    <t>город-ские</t>
  </si>
  <si>
    <t>район-ные</t>
  </si>
  <si>
    <t>поселе-ний</t>
  </si>
  <si>
    <t>посе-лений</t>
  </si>
  <si>
    <t>А</t>
  </si>
  <si>
    <t>1</t>
  </si>
  <si>
    <t>2</t>
  </si>
  <si>
    <t>3</t>
  </si>
  <si>
    <t>7</t>
  </si>
  <si>
    <t>8</t>
  </si>
  <si>
    <t>9</t>
  </si>
  <si>
    <t>13=7/1*100</t>
  </si>
  <si>
    <t>14=8/2*100</t>
  </si>
  <si>
    <t>15=9/3*100</t>
  </si>
  <si>
    <t>16=10/4*100</t>
  </si>
  <si>
    <t>17=11/5*100</t>
  </si>
  <si>
    <t>18=12/6*100</t>
  </si>
  <si>
    <t>ДОХОДЫ (по форме 0503317)</t>
  </si>
  <si>
    <t>Доходы бюджета - ИТОГО - спрятать</t>
  </si>
  <si>
    <t>Налоговые и неналоговые доходы, из них:</t>
  </si>
  <si>
    <t>Налог на прибыль организаций</t>
  </si>
  <si>
    <t>-</t>
  </si>
  <si>
    <t>Налог на доходы физических лиц</t>
  </si>
  <si>
    <t>Акцизы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</si>
  <si>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</si>
  <si>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</si>
  <si>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</si>
  <si>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</si>
  <si>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</si>
  <si>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</t>
  </si>
  <si>
    <t>Платежи за пользование природными ресурсами</t>
  </si>
  <si>
    <t>Доходы от оказания платных услуг (работ) и компенсации затрат государства</t>
  </si>
  <si>
    <t>Доходы от продажи активов</t>
  </si>
  <si>
    <t>Административные платежи и сборы</t>
  </si>
  <si>
    <t>Штрафные санкции</t>
  </si>
  <si>
    <t>Прочие неналоговые доходы</t>
  </si>
  <si>
    <t xml:space="preserve"> - из них: невыясненные поступления</t>
  </si>
  <si>
    <t>Поступления (перечисления) по урегулированию расчетов между бюджетами</t>
  </si>
  <si>
    <t>Безвозмездные поступления, в т.ч.:</t>
  </si>
  <si>
    <t>1. От других бюджетов</t>
  </si>
  <si>
    <t>2. Безвозмездные поступления от государственных (муниципальных) организаций</t>
  </si>
  <si>
    <t>3. Безвозмездные поступления от негосударственных  организаций</t>
  </si>
  <si>
    <t>4. Прочие безвозмездные поступления</t>
  </si>
  <si>
    <t>5. 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</si>
  <si>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ВСЕГО ДОХОДЫ</t>
  </si>
  <si>
    <t>Контроль - спрятать</t>
  </si>
  <si>
    <t>Итого безвозмездные</t>
  </si>
  <si>
    <t>Отклонение</t>
  </si>
  <si>
    <t>Отклонения в доходах получено поселениями от районов и в расходах - отдано в районах межбюджетных</t>
  </si>
  <si>
    <t>РАСХОДЫ (по форме 0503317)</t>
  </si>
  <si>
    <r>
      <t xml:space="preserve">Расходы - </t>
    </r>
    <r>
      <rPr>
        <b/>
        <sz val="10"/>
        <color indexed="10"/>
        <rFont val="Arial"/>
        <family val="2"/>
        <charset val="204"/>
      </rPr>
      <t>спрятать</t>
    </r>
  </si>
  <si>
    <t>Общегосударственные вопросы (01)</t>
  </si>
  <si>
    <t>в т.ч. межбюджетные трансферты</t>
  </si>
  <si>
    <t>Национальная оборона (02)</t>
  </si>
  <si>
    <t>Национальная безопасность и правоохранительная деятельность (03)</t>
  </si>
  <si>
    <t>Национальная экономика (04), из них:</t>
  </si>
  <si>
    <t xml:space="preserve"> - общеэкономические вопросы (0401)</t>
  </si>
  <si>
    <t xml:space="preserve"> - топливно-энергетический комплекс (0402)</t>
  </si>
  <si>
    <t xml:space="preserve">   в т.ч межбюджетные трансферты</t>
  </si>
  <si>
    <t xml:space="preserve"> - сельское хозяйство и рыболовство (0405)</t>
  </si>
  <si>
    <t xml:space="preserve"> - водное хозяйство (0406)</t>
  </si>
  <si>
    <t xml:space="preserve"> - лесное хозяйство (0407)</t>
  </si>
  <si>
    <t xml:space="preserve"> - транспорт (0408)</t>
  </si>
  <si>
    <t xml:space="preserve"> - дорожное хозяйство, фонды (0409)</t>
  </si>
  <si>
    <t xml:space="preserve"> - связь и информатика (0410)</t>
  </si>
  <si>
    <t xml:space="preserve"> - другие вопросы в области национальной экономики (0412)</t>
  </si>
  <si>
    <t>Жилищно-коммунальное хозяйство (05), из них:</t>
  </si>
  <si>
    <t xml:space="preserve"> - жилищное хозяйство (0501)</t>
  </si>
  <si>
    <t xml:space="preserve"> - коммунальное хозяйство (0502)</t>
  </si>
  <si>
    <t xml:space="preserve"> - благоустройство (0503)</t>
  </si>
  <si>
    <t xml:space="preserve"> - другие вопросы в области жилищно-коммунального хозяйства (0505)</t>
  </si>
  <si>
    <t>Охрана окружающей среды (06)</t>
  </si>
  <si>
    <t>Образование (07)</t>
  </si>
  <si>
    <t>Культура, кинематография (08)</t>
  </si>
  <si>
    <t>Здравоохранение (09), из них:</t>
  </si>
  <si>
    <t xml:space="preserve"> - стационарная медицинская помощь (0901)</t>
  </si>
  <si>
    <t xml:space="preserve"> - амбулаторная помощь (0902)</t>
  </si>
  <si>
    <t xml:space="preserve"> - другие вопросы в области здравоохранения (0909)</t>
  </si>
  <si>
    <t>Социальная политика (1000)</t>
  </si>
  <si>
    <t>Физическая культура и спорт (1100)</t>
  </si>
  <si>
    <t>Средства массовой информации (1200)</t>
  </si>
  <si>
    <t>Обслуживание гос. и муниципального долга (1300)</t>
  </si>
  <si>
    <t>Межбюджетные трансферты общего характера (1400)</t>
  </si>
  <si>
    <t xml:space="preserve"> -  дотации на выравнивание бюджетной обеспеченности</t>
  </si>
  <si>
    <t xml:space="preserve"> - иные дотации</t>
  </si>
  <si>
    <t xml:space="preserve"> - прочие межбюджетные трансферты общего характера</t>
  </si>
  <si>
    <t>ВСЕГО РАСХОДЫ</t>
  </si>
  <si>
    <t>контроль - спрятать</t>
  </si>
  <si>
    <t>контроль межбюджетных - спрятать</t>
  </si>
  <si>
    <t>РЕЗУЛЬТАТ ИСПОЛНЕНИЯ БЮДЖЕТОВ:                   дефицит (-),  профицит (+)</t>
  </si>
  <si>
    <t>х</t>
  </si>
  <si>
    <t>результат по отчету - спрятать</t>
  </si>
  <si>
    <t>Контроль результата - спрятать</t>
  </si>
  <si>
    <t>Источники финансирования дефицита бюджетов (по форме 0503317), в т.ч.:</t>
  </si>
  <si>
    <t>Кредиты кредитных организаций (оборот)</t>
  </si>
  <si>
    <t>Бюджетные кредиты (оборот)</t>
  </si>
  <si>
    <t>Средства от продажи акций и иных форм участия в капитале</t>
  </si>
  <si>
    <t>Исполнение государственных и муниципальных гарантий</t>
  </si>
  <si>
    <t>Возврат бюджетных кредитов</t>
  </si>
  <si>
    <t>Операции по управлению остатками средств на единых счетах бюджетов (оборот)</t>
  </si>
  <si>
    <t>Изменение остатков средств бюджетов (оборот)</t>
  </si>
  <si>
    <t>СПРАВОЧНО:</t>
  </si>
  <si>
    <t>Изменение (+/-), млн.руб.</t>
  </si>
  <si>
    <t xml:space="preserve">         - федерального бюджета</t>
  </si>
  <si>
    <t xml:space="preserve">         - областного бюджета</t>
  </si>
  <si>
    <t>Просроченная кредиторская задолженность (ф. 0503369)</t>
  </si>
  <si>
    <t>Внутренний долг, в т.ч.:</t>
  </si>
  <si>
    <t xml:space="preserve"> - по бюджетным кредитам</t>
  </si>
  <si>
    <t xml:space="preserve"> - в т.ч. по бюджетным кредитам - спрятать</t>
  </si>
  <si>
    <t xml:space="preserve"> - и по бюджетным ссудам - спрятать</t>
  </si>
  <si>
    <t xml:space="preserve"> - по кредитам кредитных организаций</t>
  </si>
  <si>
    <t xml:space="preserve"> - по выданным гарантиям</t>
  </si>
  <si>
    <t>поселе-ний город</t>
  </si>
  <si>
    <t>поселе-ний село</t>
  </si>
  <si>
    <t>Утверждено по отчету на 2016 год (руб.)</t>
  </si>
  <si>
    <t>Исполнено за 6 мес. 2016 года (руб.)</t>
  </si>
  <si>
    <t>Утверждено по отчету на 2016 год (млн.руб.)</t>
  </si>
  <si>
    <t>Исполнено за 6 мес. 2016 года (млн.руб.)</t>
  </si>
  <si>
    <t>Показатели на 01.01.2016 (руб.)</t>
  </si>
  <si>
    <t>Показатели на 01.07.2016 (руб.)</t>
  </si>
  <si>
    <t>Показатели на 01.01.2016 (млн.руб.)</t>
  </si>
  <si>
    <t>Показатели на 01.07.2016 (млн.руб.)</t>
  </si>
  <si>
    <t xml:space="preserve">  целевые, в т.ч.:</t>
  </si>
  <si>
    <t>Остатки на счетах бюджета (ф. 0503320 и 0503387), из них:</t>
  </si>
  <si>
    <t>Бюджеты</t>
  </si>
  <si>
    <t>ДОХОДЫ, всего с внутренними оборотами</t>
  </si>
  <si>
    <t>РАСХОДЫ, всего с внутренними оборотами</t>
  </si>
  <si>
    <t>Итого ДОХОДЫ</t>
  </si>
  <si>
    <t>Итого ДОХОДЫ - сайт Правительства АО, по месячной форме</t>
  </si>
  <si>
    <t>Итого РАСХОДЫ</t>
  </si>
  <si>
    <t>Безвозмездые поступления от других бюджетов, всего с внутренними оборотами</t>
  </si>
  <si>
    <t>Безвозмездные из областного бюджета</t>
  </si>
  <si>
    <t>Налоговые и неналоговые доходы</t>
  </si>
  <si>
    <t>Акцизы по подакцизным товарам (продукции)</t>
  </si>
  <si>
    <t>в т.ч.</t>
  </si>
  <si>
    <t>Результат исполнения бюджета</t>
  </si>
  <si>
    <t>Внутренний долг на 01.01.2016</t>
  </si>
  <si>
    <t>Изменение внутреннего долга за год</t>
  </si>
  <si>
    <t>Безвозмездные поступления ВСЕГО, с внутренними оборотами</t>
  </si>
  <si>
    <t>Безвозмеждные поступления ВСЕГО, без вн. оборотов</t>
  </si>
  <si>
    <t>НДФЛ</t>
  </si>
  <si>
    <t>Обслуживание внутреннего долга</t>
  </si>
  <si>
    <t>Назначено</t>
  </si>
  <si>
    <t>Исполнено</t>
  </si>
  <si>
    <t>%</t>
  </si>
  <si>
    <t>целевые (ф. 387)</t>
  </si>
  <si>
    <t>целевые</t>
  </si>
  <si>
    <t>целевых</t>
  </si>
  <si>
    <t>город</t>
  </si>
  <si>
    <t>район</t>
  </si>
  <si>
    <t>посел.</t>
  </si>
  <si>
    <t>ВСЕГО в тыс.руб.</t>
  </si>
  <si>
    <t>Неправильно отражено</t>
  </si>
  <si>
    <t>всего руб.</t>
  </si>
  <si>
    <t>Вельский район</t>
  </si>
  <si>
    <t>Верхнетоемский район</t>
  </si>
  <si>
    <t>Вилегодский район</t>
  </si>
  <si>
    <t>Виноградовский район</t>
  </si>
  <si>
    <t>Каргопольский район</t>
  </si>
  <si>
    <t>Коношский район</t>
  </si>
  <si>
    <t>Котласский район</t>
  </si>
  <si>
    <t>Красноборский район</t>
  </si>
  <si>
    <t>Ленский район</t>
  </si>
  <si>
    <t>Лешуконский район</t>
  </si>
  <si>
    <t>Мезенский район</t>
  </si>
  <si>
    <t>Няндомский район</t>
  </si>
  <si>
    <t>Онежский район</t>
  </si>
  <si>
    <t>Пинежский район</t>
  </si>
  <si>
    <t>Плесецкий район</t>
  </si>
  <si>
    <t>Приморский район</t>
  </si>
  <si>
    <t>Устьянский район</t>
  </si>
  <si>
    <t>Холмогорский район</t>
  </si>
  <si>
    <t>Шенкурский район</t>
  </si>
  <si>
    <t>Город Архангельск</t>
  </si>
  <si>
    <t>Северодвинск</t>
  </si>
  <si>
    <t>Котлас</t>
  </si>
  <si>
    <t>Город Новодвинск</t>
  </si>
  <si>
    <t>Город Коряжма</t>
  </si>
  <si>
    <t>Мирный</t>
  </si>
  <si>
    <t>Новая Земля</t>
  </si>
  <si>
    <t>Итого по МО</t>
  </si>
  <si>
    <t>Консолидированные бюджеты</t>
  </si>
  <si>
    <t>Доходы</t>
  </si>
  <si>
    <t>Расходы</t>
  </si>
  <si>
    <t>Результат исполнения (дефицит "-", профицит "+")</t>
  </si>
  <si>
    <t>назначено на год</t>
  </si>
  <si>
    <t>исполнено</t>
  </si>
  <si>
    <t>Всего</t>
  </si>
  <si>
    <t>в т.ч. целевых</t>
  </si>
  <si>
    <t>3=2/1</t>
  </si>
  <si>
    <t>4</t>
  </si>
  <si>
    <t>10</t>
  </si>
  <si>
    <t>11</t>
  </si>
  <si>
    <t>12</t>
  </si>
  <si>
    <t>Налоговые и неналоговые</t>
  </si>
  <si>
    <t>из них:</t>
  </si>
  <si>
    <t>налог на доходы физических лиц</t>
  </si>
  <si>
    <t>уд. вес. в составе налог. и неналог. доходов</t>
  </si>
  <si>
    <t>из областного бюджета</t>
  </si>
  <si>
    <t>уд. вес. в составе  доходов</t>
  </si>
  <si>
    <t>Назн.</t>
  </si>
  <si>
    <t>Исп.</t>
  </si>
  <si>
    <t>5</t>
  </si>
  <si>
    <t>Остатки средств на 01.01.2016 (баланс)</t>
  </si>
  <si>
    <t>Остатки средств на 01.07.2016</t>
  </si>
  <si>
    <t>Изменение остатков за 6 месяцев 2016</t>
  </si>
  <si>
    <t>Внутренний долг на 01.07.2016</t>
  </si>
  <si>
    <t>посел. гор.</t>
  </si>
  <si>
    <t>посел. сель</t>
  </si>
  <si>
    <t>Межбюджетные трансферты в расходах - внутренние обороты (ВР 500 по разделам и подразделам)</t>
  </si>
  <si>
    <t>Изменение остатков за 6 мес. 2016 года</t>
  </si>
  <si>
    <t>Изменение внутр. долга за 6 мес. 2016 года</t>
  </si>
  <si>
    <t>Приложение № 1.3</t>
  </si>
  <si>
    <t>Доходы консолидированного бюджета за 1 полугодие 2015 года в сравнении с аналогичным периодом предыдущего года</t>
  </si>
  <si>
    <t>Исполнено за 6 мес. 2015 года (млн.руб.)</t>
  </si>
  <si>
    <t>Изменения (+/-)</t>
  </si>
  <si>
    <t>13=7-1</t>
  </si>
  <si>
    <t>14=8-2</t>
  </si>
  <si>
    <t>15=9-3</t>
  </si>
  <si>
    <t>16=10-4</t>
  </si>
  <si>
    <t>17=11-5</t>
  </si>
  <si>
    <t>18=12-6</t>
  </si>
  <si>
    <t>5. Доходы от возврата целевых остатков прошл. лет</t>
  </si>
  <si>
    <t>6. Возврат целевых остатков прошлых лет</t>
  </si>
  <si>
    <t>Наименование</t>
  </si>
  <si>
    <t>План кассовых выплат                        на 1 полугодие                           2016 года</t>
  </si>
  <si>
    <t/>
  </si>
  <si>
    <r>
      <t xml:space="preserve">Утверждено на год (в  ред 01.06.2016 № </t>
    </r>
    <r>
      <rPr>
        <b/>
        <sz val="10"/>
        <rFont val="Arial"/>
        <family val="2"/>
        <charset val="204"/>
      </rPr>
      <t>438-26-</t>
    </r>
    <r>
      <rPr>
        <b/>
        <sz val="10"/>
        <color rgb="FF000000"/>
        <rFont val="Arial"/>
        <family val="2"/>
        <charset val="204"/>
      </rPr>
      <t>ОЗ)</t>
    </r>
  </si>
  <si>
    <t>Архангельское областное Собрание депутатов</t>
  </si>
  <si>
    <t>Министерство строительства и архитектуры АО</t>
  </si>
  <si>
    <t>Министерство топливно-энергетического комплекса и жилищно-коммунального хозяйства АО</t>
  </si>
  <si>
    <t>Министерство природных ресурсов и лесопромышленного комплекса АО</t>
  </si>
  <si>
    <t>Министерство здравоохранения АО</t>
  </si>
  <si>
    <t>Министерство культуры АО</t>
  </si>
  <si>
    <t>Министерство связи и информационных технологий АО</t>
  </si>
  <si>
    <t>Министерство образования и науки АО</t>
  </si>
  <si>
    <t>Министерство агропромышленного комплекса и торговли АО</t>
  </si>
  <si>
    <t>Министерство транспорта АО</t>
  </si>
  <si>
    <t>Министерство экономического развития АО</t>
  </si>
  <si>
    <t>Министерство труда, занятости и социального развития АО</t>
  </si>
  <si>
    <t>Агентство государственной противопожарной службы и гражданской защиты АО</t>
  </si>
  <si>
    <t>Агентство по спорту АО</t>
  </si>
  <si>
    <t>Администрация Губернатора и Правительства АО</t>
  </si>
  <si>
    <t>Агентство по печати и средствам массовой информации АО</t>
  </si>
  <si>
    <t>Инспекция по ветеринарному надзору АО</t>
  </si>
  <si>
    <t>Показатель</t>
  </si>
  <si>
    <t>% к итогу</t>
  </si>
  <si>
    <t>1 полугодие 2015 г., млн.руб.</t>
  </si>
  <si>
    <t>Изменение (+ / -)</t>
  </si>
  <si>
    <t>млн.руб.</t>
  </si>
  <si>
    <t>пунктов</t>
  </si>
  <si>
    <t>Дотации</t>
  </si>
  <si>
    <t>Субсидии</t>
  </si>
  <si>
    <t>Субвенции</t>
  </si>
  <si>
    <t>Иные межбюджетные трансферты</t>
  </si>
  <si>
    <t>Итого</t>
  </si>
  <si>
    <t>Безвозмездные поступления от других бюджетов в областной бюджет</t>
  </si>
  <si>
    <t>1 полугодие 2016 г., млн.руб.</t>
  </si>
  <si>
    <t>РЕЗУЛЬТАТ ИСПОЛНЕНИЯ БЮДЖЕТОВ: дефицит (-),  профицит (+)</t>
  </si>
  <si>
    <t>Приложение № 1.4</t>
  </si>
  <si>
    <t>Приложение № 1.1</t>
  </si>
  <si>
    <t>Расходы консолидированного бюджета за 1 полугодие 2015 года в сравнении с аналогичным периодом предыдущего года</t>
  </si>
  <si>
    <t>Приложение № 1.2</t>
  </si>
  <si>
    <t>Приложение № 1.5</t>
  </si>
  <si>
    <t>1. От других бюджетов, всего:</t>
  </si>
  <si>
    <t>Здравоохранение (09)</t>
  </si>
  <si>
    <t>Приложение № 4.1</t>
  </si>
  <si>
    <t>млн.рублей</t>
  </si>
  <si>
    <t>Сводная бюджетная роспись на 2016 год по состоянию на 30.06.2016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</si>
  <si>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</si>
  <si>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Исполнено на 01.07.2016г.</t>
  </si>
  <si>
    <t>Процент исполнения</t>
  </si>
  <si>
    <t>к сводной бюджетной росписи на год</t>
  </si>
  <si>
    <t>к плану кассовых выплат на 1 полугодия</t>
  </si>
  <si>
    <t>ГОСУДАРСТВЕННЫЕ ПРОГРАММЫ АРХАНГЕЛЬСКОЙ ОБЛАСТИ</t>
  </si>
  <si>
    <t>в том числе:</t>
  </si>
  <si>
    <t>Государственная программа Архангельской области "Развитие здравоохранения Архангельской области (2013 – 2020 годы)"</t>
  </si>
  <si>
    <t>Государственная программа Архангельской области "Развитие образования и науки Архангельской области (2013 – 2018 годы)"</t>
  </si>
  <si>
    <t>Государственная программа Архангельской области "Социальная поддержка граждан в Архангельской области (2013 – 2018 годы)"</t>
  </si>
  <si>
    <t>Государственная программа Архангельской области "Культура Русского Севера (2013 – 2020 годы)"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</si>
  <si>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Архангельской области на 2013 – 2020 годы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</si>
  <si>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– 2020 годы)"</t>
  </si>
  <si>
    <t>Государственная программа Архангельской области "Содействие занятости населения Архангельской области, улучшение условий и охраны труда (2014 – 2020 годы)"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</si>
  <si>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2018 годы)"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</si>
  <si>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 (2014 – 2020 годы)"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</si>
  <si>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 (2014 – 2020 годы)"</t>
  </si>
  <si>
    <t>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</si>
  <si>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Государственная программа Архангельской области "Экономическое развитие и инвестиционная деятельность в Архангельской области (2014 – 2020 годы)"</t>
  </si>
  <si>
    <t>Государственная программа Архангельской области "Развитие торговли в Архангельской области (2014 – 2020 годы)"</t>
  </si>
  <si>
    <t>Государственная программа Архангельской области "Развитие лесного комплекса Архангельской области (2014 – 2020 годы)"</t>
  </si>
  <si>
    <t>Государственная программа Архангельской области "Развитие энергетики и жилищно-коммунального хозяйства Архангельской области (2014 – 2020 годы)"</t>
  </si>
  <si>
    <t>Государственная программа Архангельской области "Развитие местного самоуправления в Архангельской области и государственная поддержка социально ориентированных некоммерческих организаций (2014 – 2020 годы)"</t>
  </si>
  <si>
    <t>Государственная программа Архангельской области "Развитие транспортной системы Архангельской области (2014 – 2020 годы)"</t>
  </si>
  <si>
    <t>Государственная программа Архангельской области "Развитие инфраструктуры Соловецкого архипелага (2014 – 2019 годы)"</t>
  </si>
  <si>
    <t>Государственная программа Архангельской области "Развитие имущественно-земельных отношений Архангельской области (2014 – 2018 годы)"</t>
  </si>
  <si>
    <t>Государственная программа Архангельской области "Управление государственными финансами и государственным долгом Архангельской области (2014 – 2017 годы)"</t>
  </si>
  <si>
    <t>Государственная программа Архангельской области "Эффективное государственное управление в Архангельской области (2014 – 2018 годы)"</t>
  </si>
  <si>
    <t>Государственная программа Архангельской области "Устойчивое развитие сельских территорий Архангельской области (2014 – 2017 годы)"</t>
  </si>
  <si>
    <t>Обеспечение мероприятий по капитальному ремонту многоквартирных домов, переселению граждан из аварийного жилищного фонда и переселению граждан из аварийного жилищного фонда с учетом необходимости развития малоэтажного жилищного строительства</t>
  </si>
  <si>
    <t>Региональная программа "Повышение уровня финансовой грамотности населения и развитие финансового образования в Архангельской области в 2014 – 2019 годах"</t>
  </si>
  <si>
    <t>Программа модернизации здравоохранения Архангельской области на 2011 – 2016 годы</t>
  </si>
  <si>
    <t>Региональная программа капитального ремонта общего имущества в многоквартирных домах, расположенных на территории Архангельской области</t>
  </si>
  <si>
    <t>IV. НЕПРОГРАММНЫЕ НАПРАВЛЕНИЯ ДЕЯТЕЛЬНОСТИ</t>
  </si>
  <si>
    <t>Обеспечение функционирования Губернатора Архангельской области, его заместителей, заместителей председателя Правительства Архангельской области</t>
  </si>
  <si>
    <t>Губернатор Архангельской области</t>
  </si>
  <si>
    <t>Расходы на содержание государственных органов и обеспечение их функций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</si>
  <si>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</si>
  <si>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</si>
  <si>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Заместители Губернатора Архангельской области, заместители председателя Правительства Архангельской области</t>
  </si>
  <si>
    <t>Обеспечение деятельности Архангельского областного Собрания депутатов</t>
  </si>
  <si>
    <t>Председатель Архангельского областного Собрания депутатов</t>
  </si>
  <si>
    <t>Депутаты Архангельского областного Собрания депутатов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</si>
  <si>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</si>
  <si>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</si>
  <si>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</si>
  <si>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Исполнение судебных актов</t>
  </si>
  <si>
    <t>Уплата налогов, сборов и иных платежей</t>
  </si>
  <si>
    <t>Возмещение расходов депутатов Архангельского областного Собрания депутатов в избирательных округах</t>
  </si>
  <si>
    <t>Межбюджетные трансферты</t>
  </si>
  <si>
    <t>Обеспечение деятельности избирательной комиссии Архангельской области и проведение выборов</t>
  </si>
  <si>
    <t>Члены избирательной комиссии Архангельской области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</si>
  <si>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</si>
  <si>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Проведение выборов в Архангельской области</t>
  </si>
  <si>
    <t>Проведение выборов в Архангельское областное Собрание депутатов</t>
  </si>
  <si>
    <t>Специальные расходы</t>
  </si>
  <si>
    <t>Избирательная комиссия Архангельской области</t>
  </si>
  <si>
    <t>Обеспечение деятельности контрольно-счетной палаты Архангельской области</t>
  </si>
  <si>
    <t>Обеспечение деятельности уполномоченного по правам человека в Архангельской области</t>
  </si>
  <si>
    <t>Обеспечение деятельности депутатов Государственной Думы и их помощников в избирательных округах, членов Совета Федерации и их помощников в Архангельской области</t>
  </si>
  <si>
    <t>Депутаты Государственной Думы и их помощники в округах</t>
  </si>
  <si>
    <t>Обеспечение деятельности депутатов Государственной Думы и их помощников в избирательных округах</t>
  </si>
  <si>
    <t>Члены Совета Федерации и их помощники в субъектах Российской Федерации</t>
  </si>
  <si>
    <t>Обеспечение членов Совета Федерации и их помощников в субъектах Российской Федерации</t>
  </si>
  <si>
    <t>Резервный фонд Правительства Архангельской области</t>
  </si>
  <si>
    <t>Расходы на выплаты персоналу казенных учреждений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</si>
  <si>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</si>
  <si>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</si>
  <si>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Иные выплаты населению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</si>
  <si>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</si>
  <si>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</si>
  <si>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</si>
  <si>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</si>
  <si>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Резервные средства</t>
  </si>
  <si>
    <t>Непрограммные расходы в области дорожного хозяйства</t>
  </si>
  <si>
    <t>Резерв средств на ликвидацию потерь дорожного хозяйства от осенне-весенних паводков и неблагоприятных последствий природного и техногенного характера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</si>
  <si>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</si>
  <si>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Непрограммные расходы на осуществление поддержки лиц, вынужденно покинувших территорию Украины и находящихся на территории Архангельской области</t>
  </si>
  <si>
    <t>Непрограммные расходы по обеспечению временного социально-бытового устройства лиц, вынужденно покинувших территорию Украины и находящихся в пунктах временного размещения на территории Архангельской области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</si>
  <si>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</si>
  <si>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Непрограммные расходы на компенсацию расходов, связанных с оказанием в 2014 – 2015 годах медицинскими организациями, подведомственными исполнительным органам государственной власти Архангельской области, гражданам Украины и лицам без гражданства медицинской помощи и проведением профилактических прививок, включенных в календарь профилактических прививок по эпидемическим показаниям</t>
  </si>
  <si>
    <t>Компенсация расходов, связанных с оказанием в 2014 – 2015 годах медицинскими организациями, подведомственными органам исполнительной власти субъектов Российской Федерации и органам местного самоуправления,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</t>
  </si>
  <si>
    <t>Резервные средства для финансового обеспечения повышения оплаты труда работников государственных и муниципальных учреждений Архангельской области, органов государственной власти и местного самоуправления Архангельской области с 1 октября 2016 года на 5,5 процента</t>
  </si>
  <si>
    <t>Исполнение областного бюджета за 1 полугодие 2016 года в разрезе программ</t>
  </si>
  <si>
    <t>Отчет по программе</t>
  </si>
  <si>
    <t>Утверждено на год</t>
  </si>
  <si>
    <t>исполнено на 01.07.2016</t>
  </si>
  <si>
    <t>Исполнено на 01.07.2016</t>
  </si>
  <si>
    <t>Сведения о выполнении планов финансово-хозяйственной деятельности государственных бюджетных и автономных учреждений за 6 месяцев 2016 года, в разрезе главных распорядителей средств областного бюджета</t>
  </si>
  <si>
    <t>Остатки средств (ф. 0503779)</t>
  </si>
  <si>
    <t>Доходы за 6 мес. 2016 года (ф. 0503737)</t>
  </si>
  <si>
    <t>Перечис-лено из областного бюджета за 6 мес. 2016 (ведомственная структура)</t>
  </si>
  <si>
    <t>Откло-нения</t>
  </si>
  <si>
    <t>Расходы за 6 мес. 2016 года (ф. 0503737)</t>
  </si>
  <si>
    <t>Задолженность (ф. 0503769)</t>
  </si>
  <si>
    <t>На 01.07.2016</t>
  </si>
  <si>
    <t>Изменения за 6 мес. (+,-)</t>
  </si>
  <si>
    <t>Дебиторская</t>
  </si>
  <si>
    <t>Кредиторская</t>
  </si>
  <si>
    <t>всего</t>
  </si>
  <si>
    <t>% вып-ия плана</t>
  </si>
  <si>
    <t>в т.ч. за счет бюдж. средств</t>
  </si>
  <si>
    <t>уд. вес в дохо-дах в %</t>
  </si>
  <si>
    <t>уд. вес в рас-ходах  в %</t>
  </si>
  <si>
    <t>на 01.07.2016</t>
  </si>
  <si>
    <t>Измене-ние за 6 мес.</t>
  </si>
  <si>
    <t>изменение за 6 мес. по бюдж. средствам</t>
  </si>
  <si>
    <t>Изменение за 6 мес.</t>
  </si>
  <si>
    <t>изменение  за 6 мес. по бюдж. средствам</t>
  </si>
  <si>
    <t>11=10-8</t>
  </si>
  <si>
    <t>ИТОГО</t>
  </si>
  <si>
    <t>АДРЕСНЫЕ ПРОГРАММЫ АРХАНГЕЛЬСКОЙ ОБЛАСТИ</t>
  </si>
  <si>
    <t>ИНЫЕ ПРОГРАММЫ АРХАНГЕЛЬСКОЙ ОБЛАСТИ</t>
  </si>
  <si>
    <t>в тыс.руб.</t>
  </si>
  <si>
    <t>Обеспечение мероприятий по капитальному ремонту многоквартирных домов, переселению граждан из аварийного жилищного фонда</t>
  </si>
  <si>
    <t>в том числе за счет средств:</t>
  </si>
  <si>
    <t>Фонда содействия реформированию жилищно-коммунального хозяйства</t>
  </si>
  <si>
    <t>областного и местных бюджетов</t>
  </si>
  <si>
    <t>% выполнения к плану года</t>
  </si>
  <si>
    <t>районные и городские</t>
  </si>
  <si>
    <t>посе-ления</t>
  </si>
  <si>
    <t>район-ные и город-ские</t>
  </si>
  <si>
    <t>Областной бюджет</t>
  </si>
  <si>
    <t>Всего область</t>
  </si>
  <si>
    <t xml:space="preserve">Обеспечение мероприятий по капитальному ремонту многоквартирных домов </t>
  </si>
  <si>
    <t xml:space="preserve">Обеспечение мероприятий по переселению граждан из аварийного жилищного фонда 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</si>
  <si>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</si>
  <si>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Приложение № 4.2</t>
  </si>
  <si>
    <t>Приложение № 4.3</t>
  </si>
  <si>
    <t>Приложение № 4.4</t>
  </si>
  <si>
    <t>6=5/4</t>
  </si>
  <si>
    <t>13</t>
  </si>
  <si>
    <t>14</t>
  </si>
  <si>
    <t>Безвозмездные поступления, с учетом возврата целевых остатков и доходов от возврата остатков</t>
  </si>
  <si>
    <t>9=8/7</t>
  </si>
  <si>
    <t>10=7/1</t>
  </si>
  <si>
    <t>11=8/2</t>
  </si>
  <si>
    <t>14=13/12</t>
  </si>
  <si>
    <t>15</t>
  </si>
  <si>
    <t>16</t>
  </si>
  <si>
    <t>17=16/15</t>
  </si>
  <si>
    <t>18=15/1</t>
  </si>
  <si>
    <t>19=16/2</t>
  </si>
  <si>
    <t>Сведения об исполнении консолидированного бюджета Архангельской области за 1 полугодие 2016 года</t>
  </si>
  <si>
    <t>тыс.рублей</t>
  </si>
  <si>
    <t>Сведения об исполнении консолидированных бюджетов муниципальных образований в Архангельской области за 1 полугодие 2016 года, согласно отчетам по ф. 0503317 и 0503387, представленным в Минфин России</t>
  </si>
  <si>
    <t>Выполнение доходной части консолидированного бюджета муниципальных образований Архангельской области за 1 полугодие 2016 года, согласно отчету, представленному в Минфин России по ф. 0503317</t>
  </si>
  <si>
    <t>Сведения о расходах консолидированного бюджета Архангельской области по обеспечению мероприятий по капитальному ремонту многоквартирных домов, переселению граждан из аварийного жилищного фонда за 6 месяцев 2016 года *</t>
  </si>
  <si>
    <t>* Согласно данным Справочной таблицы к отчету об исполнении консолидированного бюджета… (ф. 0503387)</t>
  </si>
  <si>
    <t>Сведения о расходах консолидированного бюджета Архангельской области по обеспечению мероприятий по капитальному ремонту многоквартирных домов, переселению граждан из аварийного жилищного фонда за 6 месяцев 2016 года, в разрезе мероприятий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</si>
</sst>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&quot;р.&quot;_-;\-* #,##0.00&quot;р.&quot;_-;_-* &quot;-&quot;??&quot;р.&quot;_-;_-@_-"/>
    <numFmt numFmtId="164" formatCode="#,##0.00_ ;[Red]\-#,##0.00\ "/>
    <numFmt numFmtId="165" formatCode="#,##0.0_ ;[Red]\-#,##0.0\ "/>
    <numFmt numFmtId="166" formatCode="#,##0.000000_ ;[Red]\-#,##0.000000\ "/>
    <numFmt numFmtId="167" formatCode="#,##0.000000000000_ ;[Red]\-#,##0.000000000000\ "/>
    <numFmt numFmtId="168" formatCode="#,##0.00000000000_ ;[Red]\-#,##0.00000000000\ "/>
    <numFmt numFmtId="169" formatCode="#,##0.00000_ ;[Red]\-#,##0.00000\ "/>
    <numFmt numFmtId="170" formatCode="#,##0_ ;[Red]\-#,##0\ "/>
    <numFmt numFmtId="171" formatCode="#,##0.000_ ;[Red]\-#,##0.000\ "/>
    <numFmt numFmtId="172" formatCode="#,##0.0"/>
    <numFmt numFmtId="173" formatCode="#,##0_ ;\-#,##0\ "/>
  </numFmts>
  <fonts count="4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10"/>
      <color indexed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rgb="FFFF0000"/>
      <name val="Arial"/>
      <family val="2"/>
      <charset val="204"/>
    </font>
    <font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 Cyr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000000"/>
      <name val="Arial Cyr"/>
    </font>
    <font>
      <b/>
      <sz val="9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65FF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" fontId="4" fillId="0" borderId="22">
      <alignment horizontal="right" shrinkToFit="1"/>
    </xf>
    <xf numFmtId="4" fontId="19" fillId="0" borderId="22">
      <alignment horizontal="right"/>
    </xf>
    <xf numFmtId="4" fontId="19" fillId="0" borderId="19">
      <alignment horizontal="right"/>
    </xf>
    <xf numFmtId="4" fontId="20" fillId="0" borderId="22">
      <alignment horizontal="right" vertical="center" shrinkToFit="1"/>
    </xf>
    <xf numFmtId="4" fontId="20" fillId="0" borderId="19">
      <alignment horizontal="right" vertical="center" shrinkToFit="1"/>
    </xf>
    <xf numFmtId="0" fontId="39" fillId="0" borderId="22">
      <alignment horizontal="left" vertical="top" wrapText="1"/>
    </xf>
  </cellStyleXfs>
  <cellXfs count="446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shrinkToFit="1"/>
    </xf>
    <xf numFmtId="164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vertical="center" shrinkToFit="1"/>
    </xf>
    <xf numFmtId="165" fontId="4" fillId="0" borderId="0" xfId="0" applyNumberFormat="1" applyFont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" fontId="7" fillId="0" borderId="6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vertical="center" shrinkToFit="1"/>
    </xf>
    <xf numFmtId="0" fontId="1" fillId="0" borderId="6" xfId="0" applyFont="1" applyBorder="1" applyAlignment="1">
      <alignment vertical="center" wrapText="1"/>
    </xf>
    <xf numFmtId="165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right" shrinkToFit="1"/>
    </xf>
    <xf numFmtId="4" fontId="1" fillId="2" borderId="9" xfId="0" applyNumberFormat="1" applyFont="1" applyFill="1" applyBorder="1" applyAlignment="1">
      <alignment horizontal="right" shrinkToFit="1"/>
    </xf>
    <xf numFmtId="165" fontId="1" fillId="0" borderId="6" xfId="0" applyNumberFormat="1" applyFont="1" applyBorder="1" applyAlignment="1">
      <alignment vertical="center" wrapText="1"/>
    </xf>
    <xf numFmtId="165" fontId="11" fillId="0" borderId="6" xfId="0" applyNumberFormat="1" applyFont="1" applyBorder="1" applyAlignment="1">
      <alignment vertical="center" wrapText="1"/>
    </xf>
    <xf numFmtId="165" fontId="1" fillId="0" borderId="10" xfId="0" applyNumberFormat="1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right" shrinkToFit="1"/>
    </xf>
    <xf numFmtId="4" fontId="5" fillId="4" borderId="6" xfId="0" applyNumberFormat="1" applyFont="1" applyFill="1" applyBorder="1" applyAlignment="1">
      <alignment horizontal="right" shrinkToFit="1"/>
    </xf>
    <xf numFmtId="165" fontId="5" fillId="0" borderId="6" xfId="0" applyNumberFormat="1" applyFont="1" applyBorder="1" applyAlignment="1">
      <alignment vertical="center" wrapText="1"/>
    </xf>
    <xf numFmtId="165" fontId="5" fillId="0" borderId="10" xfId="0" applyNumberFormat="1" applyFont="1" applyBorder="1" applyAlignment="1">
      <alignment vertical="center" wrapText="1"/>
    </xf>
    <xf numFmtId="165" fontId="5" fillId="0" borderId="0" xfId="0" applyNumberFormat="1" applyFont="1" applyBorder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4" fontId="1" fillId="4" borderId="6" xfId="0" applyNumberFormat="1" applyFont="1" applyFill="1" applyBorder="1" applyAlignment="1">
      <alignment horizontal="right" shrinkToFit="1"/>
    </xf>
    <xf numFmtId="165" fontId="11" fillId="0" borderId="6" xfId="0" applyNumberFormat="1" applyFont="1" applyBorder="1" applyAlignment="1">
      <alignment horizontal="center" vertical="center" wrapText="1"/>
    </xf>
    <xf numFmtId="165" fontId="11" fillId="0" borderId="10" xfId="0" applyNumberFormat="1" applyFont="1" applyBorder="1" applyAlignment="1">
      <alignment horizontal="center" vertical="center" wrapText="1"/>
    </xf>
    <xf numFmtId="165" fontId="11" fillId="0" borderId="0" xfId="0" applyNumberFormat="1" applyFont="1" applyBorder="1" applyAlignment="1">
      <alignment horizontal="center" vertical="center" wrapText="1"/>
    </xf>
    <xf numFmtId="165" fontId="11" fillId="0" borderId="10" xfId="0" applyNumberFormat="1" applyFont="1" applyBorder="1" applyAlignment="1">
      <alignment vertical="center" wrapText="1"/>
    </xf>
    <xf numFmtId="164" fontId="1" fillId="2" borderId="6" xfId="0" applyNumberFormat="1" applyFont="1" applyFill="1" applyBorder="1" applyAlignment="1">
      <alignment vertical="center" wrapText="1"/>
    </xf>
    <xf numFmtId="4" fontId="1" fillId="5" borderId="6" xfId="0" applyNumberFormat="1" applyFont="1" applyFill="1" applyBorder="1" applyAlignment="1">
      <alignment horizontal="right" shrinkToFit="1"/>
    </xf>
    <xf numFmtId="164" fontId="1" fillId="5" borderId="6" xfId="0" applyNumberFormat="1" applyFont="1" applyFill="1" applyBorder="1" applyAlignment="1">
      <alignment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right" vertical="center" shrinkToFit="1"/>
    </xf>
    <xf numFmtId="167" fontId="1" fillId="0" borderId="0" xfId="0" applyNumberFormat="1" applyFont="1" applyAlignment="1">
      <alignment vertical="center" wrapText="1"/>
    </xf>
    <xf numFmtId="165" fontId="11" fillId="0" borderId="0" xfId="0" applyNumberFormat="1" applyFont="1" applyBorder="1" applyAlignment="1">
      <alignment vertical="center" wrapText="1"/>
    </xf>
    <xf numFmtId="165" fontId="1" fillId="0" borderId="6" xfId="0" applyNumberFormat="1" applyFont="1" applyFill="1" applyBorder="1" applyAlignment="1">
      <alignment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8" fontId="1" fillId="0" borderId="0" xfId="0" applyNumberFormat="1" applyFont="1" applyAlignment="1">
      <alignment vertical="center" wrapText="1"/>
    </xf>
    <xf numFmtId="0" fontId="12" fillId="6" borderId="5" xfId="0" applyFont="1" applyFill="1" applyBorder="1" applyAlignment="1">
      <alignment vertical="center" wrapText="1"/>
    </xf>
    <xf numFmtId="4" fontId="13" fillId="6" borderId="6" xfId="0" applyNumberFormat="1" applyFont="1" applyFill="1" applyBorder="1" applyAlignment="1">
      <alignment horizontal="right" shrinkToFit="1"/>
    </xf>
    <xf numFmtId="165" fontId="12" fillId="6" borderId="6" xfId="0" applyNumberFormat="1" applyFont="1" applyFill="1" applyBorder="1" applyAlignment="1">
      <alignment vertical="center" wrapText="1"/>
    </xf>
    <xf numFmtId="165" fontId="12" fillId="6" borderId="10" xfId="0" applyNumberFormat="1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vertical="center" wrapText="1"/>
    </xf>
    <xf numFmtId="165" fontId="12" fillId="6" borderId="0" xfId="0" applyNumberFormat="1" applyFont="1" applyFill="1" applyAlignment="1">
      <alignment vertical="center" wrapText="1"/>
    </xf>
    <xf numFmtId="164" fontId="12" fillId="6" borderId="0" xfId="0" applyNumberFormat="1" applyFont="1" applyFill="1" applyAlignment="1">
      <alignment vertical="center" wrapText="1"/>
    </xf>
    <xf numFmtId="165" fontId="14" fillId="0" borderId="0" xfId="0" applyNumberFormat="1" applyFont="1" applyBorder="1" applyAlignment="1">
      <alignment vertical="center" wrapText="1"/>
    </xf>
    <xf numFmtId="4" fontId="5" fillId="3" borderId="6" xfId="0" applyNumberFormat="1" applyFont="1" applyFill="1" applyBorder="1" applyAlignment="1">
      <alignment horizontal="right" vertical="center" shrinkToFit="1"/>
    </xf>
    <xf numFmtId="165" fontId="5" fillId="0" borderId="0" xfId="0" applyNumberFormat="1" applyFont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4" fontId="1" fillId="3" borderId="6" xfId="0" applyNumberFormat="1" applyFont="1" applyFill="1" applyBorder="1" applyAlignment="1">
      <alignment horizontal="right" vertical="center" shrinkToFit="1"/>
    </xf>
    <xf numFmtId="164" fontId="11" fillId="0" borderId="0" xfId="0" applyNumberFormat="1" applyFont="1" applyAlignment="1">
      <alignment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5" fillId="7" borderId="13" xfId="0" applyFont="1" applyFill="1" applyBorder="1" applyAlignment="1">
      <alignment vertical="center" wrapText="1"/>
    </xf>
    <xf numFmtId="4" fontId="5" fillId="7" borderId="14" xfId="0" applyNumberFormat="1" applyFont="1" applyFill="1" applyBorder="1" applyAlignment="1">
      <alignment horizontal="right" vertical="center" shrinkToFit="1"/>
    </xf>
    <xf numFmtId="165" fontId="5" fillId="7" borderId="14" xfId="0" applyNumberFormat="1" applyFont="1" applyFill="1" applyBorder="1" applyAlignment="1">
      <alignment vertical="center" wrapText="1"/>
    </xf>
    <xf numFmtId="165" fontId="5" fillId="7" borderId="15" xfId="0" applyNumberFormat="1" applyFont="1" applyFill="1" applyBorder="1" applyAlignment="1">
      <alignment vertical="center" wrapText="1"/>
    </xf>
    <xf numFmtId="165" fontId="5" fillId="7" borderId="0" xfId="0" applyNumberFormat="1" applyFont="1" applyFill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164" fontId="14" fillId="0" borderId="12" xfId="0" applyNumberFormat="1" applyFont="1" applyBorder="1" applyAlignment="1">
      <alignment vertical="center" shrinkToFit="1"/>
    </xf>
    <xf numFmtId="164" fontId="14" fillId="0" borderId="12" xfId="0" applyNumberFormat="1" applyFont="1" applyBorder="1" applyAlignment="1">
      <alignment vertical="center" wrapText="1"/>
    </xf>
    <xf numFmtId="164" fontId="14" fillId="0" borderId="17" xfId="0" applyNumberFormat="1" applyFont="1" applyBorder="1" applyAlignment="1">
      <alignment vertical="center" wrapText="1"/>
    </xf>
    <xf numFmtId="164" fontId="14" fillId="0" borderId="0" xfId="0" applyNumberFormat="1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164" fontId="14" fillId="0" borderId="18" xfId="0" applyNumberFormat="1" applyFont="1" applyBorder="1" applyAlignment="1">
      <alignment vertical="center" shrinkToFit="1"/>
    </xf>
    <xf numFmtId="164" fontId="14" fillId="0" borderId="18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164" fontId="14" fillId="0" borderId="0" xfId="0" applyNumberFormat="1" applyFont="1" applyBorder="1" applyAlignment="1">
      <alignment vertical="center" shrinkToFit="1"/>
    </xf>
    <xf numFmtId="165" fontId="14" fillId="0" borderId="0" xfId="0" applyNumberFormat="1" applyFont="1" applyBorder="1" applyAlignment="1">
      <alignment vertical="center" shrinkToFit="1"/>
    </xf>
    <xf numFmtId="164" fontId="15" fillId="0" borderId="0" xfId="0" applyNumberFormat="1" applyFont="1" applyFill="1" applyBorder="1" applyAlignment="1">
      <alignment vertical="center" shrinkToFit="1"/>
    </xf>
    <xf numFmtId="169" fontId="15" fillId="0" borderId="0" xfId="0" applyNumberFormat="1" applyFont="1" applyFill="1" applyBorder="1" applyAlignment="1">
      <alignment vertical="center" shrinkToFit="1"/>
    </xf>
    <xf numFmtId="0" fontId="5" fillId="0" borderId="16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vertical="center" shrinkToFit="1"/>
    </xf>
    <xf numFmtId="164" fontId="1" fillId="0" borderId="12" xfId="0" applyNumberFormat="1" applyFon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164" fontId="1" fillId="0" borderId="17" xfId="0" applyNumberFormat="1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5" fillId="8" borderId="5" xfId="0" applyFont="1" applyFill="1" applyBorder="1" applyAlignment="1">
      <alignment vertical="center" wrapText="1"/>
    </xf>
    <xf numFmtId="4" fontId="5" fillId="8" borderId="12" xfId="0" applyNumberFormat="1" applyFont="1" applyFill="1" applyBorder="1" applyAlignment="1">
      <alignment horizontal="right" shrinkToFit="1"/>
    </xf>
    <xf numFmtId="4" fontId="5" fillId="9" borderId="6" xfId="0" applyNumberFormat="1" applyFont="1" applyFill="1" applyBorder="1" applyAlignment="1">
      <alignment horizontal="right" shrinkToFit="1"/>
    </xf>
    <xf numFmtId="165" fontId="5" fillId="8" borderId="6" xfId="0" applyNumberFormat="1" applyFont="1" applyFill="1" applyBorder="1" applyAlignment="1">
      <alignment vertical="center" wrapText="1"/>
    </xf>
    <xf numFmtId="165" fontId="5" fillId="8" borderId="10" xfId="0" applyNumberFormat="1" applyFont="1" applyFill="1" applyBorder="1" applyAlignment="1">
      <alignment vertical="center" wrapText="1"/>
    </xf>
    <xf numFmtId="165" fontId="5" fillId="8" borderId="0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4" fontId="5" fillId="2" borderId="12" xfId="0" applyNumberFormat="1" applyFont="1" applyFill="1" applyBorder="1" applyAlignment="1">
      <alignment horizontal="right" shrinkToFit="1"/>
    </xf>
    <xf numFmtId="0" fontId="1" fillId="0" borderId="5" xfId="0" applyFont="1" applyBorder="1" applyAlignment="1">
      <alignment vertical="center" wrapText="1"/>
    </xf>
    <xf numFmtId="4" fontId="11" fillId="2" borderId="6" xfId="0" applyNumberFormat="1" applyFont="1" applyFill="1" applyBorder="1" applyAlignment="1">
      <alignment vertical="center" shrinkToFit="1"/>
    </xf>
    <xf numFmtId="165" fontId="5" fillId="0" borderId="6" xfId="0" applyNumberFormat="1" applyFont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right" shrinkToFit="1"/>
    </xf>
    <xf numFmtId="0" fontId="13" fillId="0" borderId="5" xfId="0" applyFont="1" applyBorder="1" applyAlignment="1">
      <alignment vertical="center" wrapText="1"/>
    </xf>
    <xf numFmtId="4" fontId="13" fillId="2" borderId="6" xfId="0" applyNumberFormat="1" applyFont="1" applyFill="1" applyBorder="1" applyAlignment="1">
      <alignment horizontal="right" shrinkToFit="1"/>
    </xf>
    <xf numFmtId="4" fontId="13" fillId="4" borderId="6" xfId="0" applyNumberFormat="1" applyFont="1" applyFill="1" applyBorder="1" applyAlignment="1">
      <alignment vertical="center" shrinkToFit="1"/>
    </xf>
    <xf numFmtId="165" fontId="13" fillId="0" borderId="6" xfId="0" applyNumberFormat="1" applyFont="1" applyBorder="1" applyAlignment="1">
      <alignment vertical="center" wrapText="1"/>
    </xf>
    <xf numFmtId="165" fontId="17" fillId="0" borderId="6" xfId="0" applyNumberFormat="1" applyFont="1" applyBorder="1" applyAlignment="1">
      <alignment vertical="center" wrapText="1"/>
    </xf>
    <xf numFmtId="165" fontId="13" fillId="0" borderId="10" xfId="0" applyNumberFormat="1" applyFont="1" applyBorder="1" applyAlignment="1">
      <alignment vertical="center" wrapText="1"/>
    </xf>
    <xf numFmtId="165" fontId="13" fillId="0" borderId="0" xfId="0" applyNumberFormat="1" applyFont="1" applyBorder="1" applyAlignment="1">
      <alignment vertical="center" wrapText="1"/>
    </xf>
    <xf numFmtId="164" fontId="13" fillId="0" borderId="0" xfId="0" applyNumberFormat="1" applyFont="1" applyAlignment="1">
      <alignment vertical="center" wrapText="1"/>
    </xf>
    <xf numFmtId="164" fontId="13" fillId="2" borderId="6" xfId="0" applyNumberFormat="1" applyFont="1" applyFill="1" applyBorder="1" applyAlignment="1">
      <alignment vertical="center" shrinkToFit="1"/>
    </xf>
    <xf numFmtId="165" fontId="13" fillId="0" borderId="6" xfId="0" applyNumberFormat="1" applyFont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vertical="center" shrinkToFit="1"/>
    </xf>
    <xf numFmtId="4" fontId="13" fillId="2" borderId="12" xfId="0" applyNumberFormat="1" applyFont="1" applyFill="1" applyBorder="1" applyAlignment="1">
      <alignment horizontal="right" shrinkToFit="1"/>
    </xf>
    <xf numFmtId="4" fontId="17" fillId="2" borderId="12" xfId="0" applyNumberFormat="1" applyFont="1" applyFill="1" applyBorder="1" applyAlignment="1">
      <alignment horizontal="right" shrinkToFit="1"/>
    </xf>
    <xf numFmtId="164" fontId="1" fillId="2" borderId="6" xfId="0" applyNumberFormat="1" applyFont="1" applyFill="1" applyBorder="1" applyAlignment="1">
      <alignment shrinkToFit="1"/>
    </xf>
    <xf numFmtId="0" fontId="11" fillId="0" borderId="5" xfId="0" applyFont="1" applyBorder="1" applyAlignment="1">
      <alignment vertical="center" wrapText="1"/>
    </xf>
    <xf numFmtId="164" fontId="13" fillId="2" borderId="6" xfId="0" applyNumberFormat="1" applyFont="1" applyFill="1" applyBorder="1" applyAlignment="1">
      <alignment shrinkToFit="1"/>
    </xf>
    <xf numFmtId="164" fontId="11" fillId="2" borderId="6" xfId="0" applyNumberFormat="1" applyFont="1" applyFill="1" applyBorder="1" applyAlignment="1">
      <alignment shrinkToFit="1"/>
    </xf>
    <xf numFmtId="165" fontId="5" fillId="0" borderId="10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4" fontId="18" fillId="5" borderId="19" xfId="0" applyNumberFormat="1" applyFont="1" applyFill="1" applyBorder="1" applyAlignment="1">
      <alignment horizontal="right" shrinkToFit="1"/>
    </xf>
    <xf numFmtId="164" fontId="18" fillId="5" borderId="19" xfId="0" applyNumberFormat="1" applyFont="1" applyFill="1" applyBorder="1" applyAlignment="1">
      <alignment vertical="center" shrinkToFit="1"/>
    </xf>
    <xf numFmtId="164" fontId="1" fillId="2" borderId="12" xfId="0" applyNumberFormat="1" applyFont="1" applyFill="1" applyBorder="1" applyAlignment="1">
      <alignment shrinkToFit="1"/>
    </xf>
    <xf numFmtId="164" fontId="5" fillId="2" borderId="6" xfId="0" applyNumberFormat="1" applyFont="1" applyFill="1" applyBorder="1" applyAlignment="1">
      <alignment vertical="center" shrinkToFit="1"/>
    </xf>
    <xf numFmtId="4" fontId="5" fillId="3" borderId="6" xfId="0" applyNumberFormat="1" applyFont="1" applyFill="1" applyBorder="1" applyAlignment="1">
      <alignment horizontal="right" shrinkToFit="1"/>
    </xf>
    <xf numFmtId="4" fontId="1" fillId="3" borderId="6" xfId="0" applyNumberFormat="1" applyFont="1" applyFill="1" applyBorder="1" applyAlignment="1">
      <alignment horizontal="right" shrinkToFit="1"/>
    </xf>
    <xf numFmtId="0" fontId="5" fillId="7" borderId="5" xfId="0" applyFont="1" applyFill="1" applyBorder="1" applyAlignment="1">
      <alignment vertical="center" wrapText="1"/>
    </xf>
    <xf numFmtId="164" fontId="5" fillId="7" borderId="6" xfId="0" applyNumberFormat="1" applyFont="1" applyFill="1" applyBorder="1" applyAlignment="1">
      <alignment vertical="center" shrinkToFit="1"/>
    </xf>
    <xf numFmtId="165" fontId="5" fillId="7" borderId="6" xfId="0" applyNumberFormat="1" applyFont="1" applyFill="1" applyBorder="1" applyAlignment="1">
      <alignment vertical="center" wrapText="1"/>
    </xf>
    <xf numFmtId="165" fontId="5" fillId="7" borderId="10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164" fontId="15" fillId="0" borderId="6" xfId="0" applyNumberFormat="1" applyFont="1" applyFill="1" applyBorder="1" applyAlignment="1">
      <alignment vertical="center" shrinkToFit="1"/>
    </xf>
    <xf numFmtId="165" fontId="14" fillId="0" borderId="6" xfId="0" applyNumberFormat="1" applyFont="1" applyFill="1" applyBorder="1" applyAlignment="1">
      <alignment vertical="center" wrapText="1"/>
    </xf>
    <xf numFmtId="165" fontId="15" fillId="0" borderId="6" xfId="0" applyNumberFormat="1" applyFont="1" applyFill="1" applyBorder="1" applyAlignment="1">
      <alignment vertical="center" wrapText="1"/>
    </xf>
    <xf numFmtId="165" fontId="15" fillId="0" borderId="10" xfId="0" applyNumberFormat="1" applyFont="1" applyFill="1" applyBorder="1" applyAlignment="1">
      <alignment vertical="center" wrapText="1"/>
    </xf>
    <xf numFmtId="165" fontId="15" fillId="0" borderId="0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shrinkToFit="1"/>
    </xf>
    <xf numFmtId="4" fontId="5" fillId="0" borderId="6" xfId="0" applyNumberFormat="1" applyFont="1" applyFill="1" applyBorder="1" applyAlignment="1">
      <alignment vertical="center" shrinkToFit="1"/>
    </xf>
    <xf numFmtId="4" fontId="5" fillId="0" borderId="7" xfId="0" applyNumberFormat="1" applyFont="1" applyFill="1" applyBorder="1" applyAlignment="1">
      <alignment vertical="center" shrinkToFit="1"/>
    </xf>
    <xf numFmtId="165" fontId="1" fillId="0" borderId="6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vertical="center" wrapText="1"/>
    </xf>
    <xf numFmtId="165" fontId="1" fillId="0" borderId="0" xfId="0" applyNumberFormat="1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164" fontId="14" fillId="0" borderId="11" xfId="0" applyNumberFormat="1" applyFont="1" applyFill="1" applyBorder="1" applyAlignment="1">
      <alignment vertical="center" shrinkToFit="1"/>
    </xf>
    <xf numFmtId="165" fontId="14" fillId="0" borderId="11" xfId="0" applyNumberFormat="1" applyFont="1" applyFill="1" applyBorder="1" applyAlignment="1">
      <alignment vertical="center" wrapText="1"/>
    </xf>
    <xf numFmtId="165" fontId="14" fillId="0" borderId="21" xfId="0" applyNumberFormat="1" applyFont="1" applyFill="1" applyBorder="1" applyAlignment="1">
      <alignment vertical="center" wrapText="1"/>
    </xf>
    <xf numFmtId="165" fontId="14" fillId="0" borderId="0" xfId="0" applyNumberFormat="1" applyFont="1" applyFill="1" applyBorder="1" applyAlignment="1">
      <alignment vertical="center" wrapText="1"/>
    </xf>
    <xf numFmtId="164" fontId="5" fillId="7" borderId="14" xfId="0" applyNumberFormat="1" applyFont="1" applyFill="1" applyBorder="1" applyAlignment="1">
      <alignment vertical="center" shrinkToFit="1"/>
    </xf>
    <xf numFmtId="165" fontId="5" fillId="7" borderId="14" xfId="0" applyNumberFormat="1" applyFont="1" applyFill="1" applyBorder="1" applyAlignment="1">
      <alignment horizontal="center" vertical="center" wrapText="1"/>
    </xf>
    <xf numFmtId="165" fontId="5" fillId="7" borderId="15" xfId="0" applyNumberFormat="1" applyFont="1" applyFill="1" applyBorder="1" applyAlignment="1">
      <alignment horizontal="center" vertical="center" wrapText="1"/>
    </xf>
    <xf numFmtId="165" fontId="5" fillId="7" borderId="0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vertical="center" wrapText="1"/>
    </xf>
    <xf numFmtId="164" fontId="5" fillId="2" borderId="12" xfId="0" applyNumberFormat="1" applyFont="1" applyFill="1" applyBorder="1" applyAlignment="1">
      <alignment vertical="center" shrinkToFit="1"/>
    </xf>
    <xf numFmtId="164" fontId="5" fillId="9" borderId="12" xfId="0" applyNumberFormat="1" applyFont="1" applyFill="1" applyBorder="1" applyAlignment="1">
      <alignment vertical="center" shrinkToFit="1"/>
    </xf>
    <xf numFmtId="165" fontId="5" fillId="2" borderId="12" xfId="0" applyNumberFormat="1" applyFont="1" applyFill="1" applyBorder="1" applyAlignment="1">
      <alignment vertical="center" wrapText="1"/>
    </xf>
    <xf numFmtId="165" fontId="5" fillId="2" borderId="17" xfId="0" applyNumberFormat="1" applyFont="1" applyFill="1" applyBorder="1" applyAlignment="1">
      <alignment vertical="center" wrapText="1"/>
    </xf>
    <xf numFmtId="165" fontId="5" fillId="2" borderId="0" xfId="0" applyNumberFormat="1" applyFont="1" applyFill="1" applyBorder="1" applyAlignment="1">
      <alignment vertical="center" wrapText="1"/>
    </xf>
    <xf numFmtId="0" fontId="16" fillId="2" borderId="20" xfId="0" applyFont="1" applyFill="1" applyBorder="1" applyAlignment="1">
      <alignment vertical="center" wrapText="1"/>
    </xf>
    <xf numFmtId="164" fontId="5" fillId="2" borderId="11" xfId="0" applyNumberFormat="1" applyFont="1" applyFill="1" applyBorder="1" applyAlignment="1">
      <alignment vertical="center" shrinkToFit="1"/>
    </xf>
    <xf numFmtId="165" fontId="5" fillId="2" borderId="11" xfId="0" applyNumberFormat="1" applyFont="1" applyFill="1" applyBorder="1" applyAlignment="1">
      <alignment vertical="center" wrapText="1"/>
    </xf>
    <xf numFmtId="165" fontId="5" fillId="2" borderId="21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vertical="center" shrinkToFit="1"/>
    </xf>
    <xf numFmtId="164" fontId="5" fillId="9" borderId="0" xfId="0" applyNumberFormat="1" applyFont="1" applyFill="1" applyBorder="1" applyAlignment="1">
      <alignment vertical="center" shrinkToFit="1"/>
    </xf>
    <xf numFmtId="164" fontId="1" fillId="9" borderId="0" xfId="0" applyNumberFormat="1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vertical="center" shrinkToFit="1"/>
    </xf>
    <xf numFmtId="164" fontId="1" fillId="9" borderId="1" xfId="0" applyNumberFormat="1" applyFont="1" applyFill="1" applyBorder="1" applyAlignment="1">
      <alignment vertical="center" shrinkToFit="1"/>
    </xf>
    <xf numFmtId="165" fontId="1" fillId="0" borderId="14" xfId="0" applyNumberFormat="1" applyFont="1" applyBorder="1" applyAlignment="1">
      <alignment vertical="center" wrapText="1"/>
    </xf>
    <xf numFmtId="165" fontId="1" fillId="0" borderId="15" xfId="0" applyNumberFormat="1" applyFont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65" fontId="1" fillId="0" borderId="12" xfId="0" applyNumberFormat="1" applyFont="1" applyBorder="1" applyAlignment="1">
      <alignment vertical="center" wrapText="1"/>
    </xf>
    <xf numFmtId="165" fontId="1" fillId="0" borderId="17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vertical="center" wrapText="1"/>
    </xf>
    <xf numFmtId="165" fontId="5" fillId="0" borderId="18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vertical="center" wrapText="1"/>
    </xf>
    <xf numFmtId="164" fontId="5" fillId="3" borderId="6" xfId="0" applyNumberFormat="1" applyFont="1" applyFill="1" applyBorder="1" applyAlignment="1">
      <alignment vertical="center" shrinkToFit="1"/>
    </xf>
    <xf numFmtId="164" fontId="5" fillId="0" borderId="6" xfId="0" applyNumberFormat="1" applyFont="1" applyFill="1" applyBorder="1" applyAlignment="1">
      <alignment vertical="center" shrinkToFit="1"/>
    </xf>
    <xf numFmtId="164" fontId="4" fillId="0" borderId="22" xfId="1" applyNumberFormat="1" applyAlignment="1" applyProtection="1">
      <alignment horizontal="right" shrinkToFit="1"/>
    </xf>
    <xf numFmtId="164" fontId="1" fillId="3" borderId="6" xfId="0" applyNumberFormat="1" applyFont="1" applyFill="1" applyBorder="1" applyAlignment="1">
      <alignment vertical="center" shrinkToFit="1"/>
    </xf>
    <xf numFmtId="164" fontId="1" fillId="0" borderId="6" xfId="0" applyNumberFormat="1" applyFont="1" applyBorder="1" applyAlignment="1">
      <alignment vertical="center" shrinkToFit="1"/>
    </xf>
    <xf numFmtId="164" fontId="18" fillId="8" borderId="6" xfId="0" applyNumberFormat="1" applyFont="1" applyFill="1" applyBorder="1" applyAlignment="1">
      <alignment horizontal="right" shrinkToFit="1"/>
    </xf>
    <xf numFmtId="164" fontId="1" fillId="10" borderId="6" xfId="0" applyNumberFormat="1" applyFont="1" applyFill="1" applyBorder="1" applyAlignment="1">
      <alignment vertical="center" shrinkToFit="1"/>
    </xf>
    <xf numFmtId="164" fontId="5" fillId="0" borderId="6" xfId="0" applyNumberFormat="1" applyFont="1" applyBorder="1" applyAlignment="1">
      <alignment vertical="center" shrinkToFit="1"/>
    </xf>
    <xf numFmtId="164" fontId="5" fillId="9" borderId="6" xfId="0" applyNumberFormat="1" applyFont="1" applyFill="1" applyBorder="1" applyAlignment="1">
      <alignment vertical="center" shrinkToFit="1"/>
    </xf>
    <xf numFmtId="164" fontId="1" fillId="9" borderId="6" xfId="0" applyNumberFormat="1" applyFont="1" applyFill="1" applyBorder="1" applyAlignment="1">
      <alignment vertical="center" shrinkToFit="1"/>
    </xf>
    <xf numFmtId="164" fontId="1" fillId="7" borderId="6" xfId="0" applyNumberFormat="1" applyFont="1" applyFill="1" applyBorder="1" applyAlignment="1">
      <alignment vertical="center" shrinkToFit="1"/>
    </xf>
    <xf numFmtId="165" fontId="1" fillId="0" borderId="6" xfId="0" applyNumberFormat="1" applyFont="1" applyBorder="1" applyAlignment="1">
      <alignment vertical="center" shrinkToFit="1"/>
    </xf>
    <xf numFmtId="164" fontId="1" fillId="3" borderId="14" xfId="0" applyNumberFormat="1" applyFont="1" applyFill="1" applyBorder="1" applyAlignment="1">
      <alignment vertical="center" shrinkToFit="1"/>
    </xf>
    <xf numFmtId="164" fontId="1" fillId="0" borderId="14" xfId="0" applyNumberFormat="1" applyFont="1" applyBorder="1" applyAlignment="1">
      <alignment vertical="center" shrinkToFit="1"/>
    </xf>
    <xf numFmtId="164" fontId="1" fillId="7" borderId="14" xfId="0" applyNumberFormat="1" applyFont="1" applyFill="1" applyBorder="1" applyAlignment="1">
      <alignment vertical="center" shrinkToFit="1"/>
    </xf>
    <xf numFmtId="164" fontId="1" fillId="2" borderId="12" xfId="0" applyNumberFormat="1" applyFont="1" applyFill="1" applyBorder="1" applyAlignment="1">
      <alignment vertical="center" shrinkToFit="1"/>
    </xf>
    <xf numFmtId="165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vertical="center" shrinkToFit="1"/>
    </xf>
    <xf numFmtId="165" fontId="14" fillId="0" borderId="6" xfId="0" applyNumberFormat="1" applyFont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vertical="center" shrinkToFit="1"/>
    </xf>
    <xf numFmtId="4" fontId="1" fillId="2" borderId="6" xfId="0" applyNumberFormat="1" applyFont="1" applyFill="1" applyBorder="1" applyAlignment="1">
      <alignment horizontal="center" vertical="center" shrinkToFit="1"/>
    </xf>
    <xf numFmtId="4" fontId="1" fillId="4" borderId="6" xfId="0" applyNumberFormat="1" applyFont="1" applyFill="1" applyBorder="1" applyAlignment="1">
      <alignment vertical="center" shrinkToFit="1"/>
    </xf>
    <xf numFmtId="4" fontId="1" fillId="3" borderId="12" xfId="0" applyNumberFormat="1" applyFont="1" applyFill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164" fontId="11" fillId="7" borderId="0" xfId="0" applyNumberFormat="1" applyFont="1" applyFill="1" applyAlignment="1">
      <alignment vertical="center" shrinkToFit="1"/>
    </xf>
    <xf numFmtId="165" fontId="11" fillId="0" borderId="0" xfId="0" applyNumberFormat="1" applyFont="1" applyAlignment="1">
      <alignment vertical="center" shrinkToFit="1"/>
    </xf>
    <xf numFmtId="170" fontId="11" fillId="8" borderId="0" xfId="0" applyNumberFormat="1" applyFont="1" applyFill="1" applyAlignment="1">
      <alignment vertical="center" shrinkToFit="1"/>
    </xf>
    <xf numFmtId="164" fontId="11" fillId="8" borderId="0" xfId="0" applyNumberFormat="1" applyFont="1" applyFill="1" applyAlignment="1">
      <alignment vertical="center" shrinkToFit="1"/>
    </xf>
    <xf numFmtId="165" fontId="11" fillId="7" borderId="0" xfId="0" applyNumberFormat="1" applyFont="1" applyFill="1" applyAlignment="1">
      <alignment vertical="center" shrinkToFit="1"/>
    </xf>
    <xf numFmtId="164" fontId="11" fillId="0" borderId="0" xfId="0" applyNumberFormat="1" applyFont="1" applyAlignment="1">
      <alignment vertical="center" shrinkToFit="1"/>
    </xf>
    <xf numFmtId="165" fontId="22" fillId="0" borderId="0" xfId="0" applyNumberFormat="1" applyFont="1" applyAlignment="1">
      <alignment vertical="center" shrinkToFit="1"/>
    </xf>
    <xf numFmtId="170" fontId="22" fillId="8" borderId="0" xfId="0" applyNumberFormat="1" applyFont="1" applyFill="1" applyAlignment="1">
      <alignment vertical="center" shrinkToFit="1"/>
    </xf>
    <xf numFmtId="165" fontId="22" fillId="5" borderId="0" xfId="0" applyNumberFormat="1" applyFont="1" applyFill="1" applyAlignment="1">
      <alignment vertical="center" shrinkToFit="1"/>
    </xf>
    <xf numFmtId="0" fontId="22" fillId="7" borderId="0" xfId="0" applyFont="1" applyFill="1" applyAlignment="1">
      <alignment vertical="center"/>
    </xf>
    <xf numFmtId="165" fontId="22" fillId="7" borderId="0" xfId="0" applyNumberFormat="1" applyFont="1" applyFill="1" applyAlignment="1">
      <alignment vertical="center" shrinkToFit="1"/>
    </xf>
    <xf numFmtId="0" fontId="11" fillId="0" borderId="0" xfId="0" applyFont="1"/>
    <xf numFmtId="0" fontId="11" fillId="0" borderId="0" xfId="0" applyFont="1" applyFill="1" applyAlignment="1">
      <alignment vertical="center" wrapText="1"/>
    </xf>
    <xf numFmtId="0" fontId="24" fillId="0" borderId="5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1" fillId="0" borderId="5" xfId="0" applyFont="1" applyFill="1" applyBorder="1"/>
    <xf numFmtId="165" fontId="11" fillId="0" borderId="6" xfId="0" applyNumberFormat="1" applyFont="1" applyFill="1" applyBorder="1" applyAlignment="1">
      <alignment vertical="center" wrapText="1"/>
    </xf>
    <xf numFmtId="165" fontId="22" fillId="0" borderId="6" xfId="0" applyNumberFormat="1" applyFont="1" applyFill="1" applyBorder="1" applyAlignment="1">
      <alignment vertical="center" wrapText="1"/>
    </xf>
    <xf numFmtId="165" fontId="11" fillId="0" borderId="10" xfId="0" applyNumberFormat="1" applyFont="1" applyFill="1" applyBorder="1" applyAlignment="1">
      <alignment vertical="center" wrapText="1"/>
    </xf>
    <xf numFmtId="165" fontId="11" fillId="0" borderId="0" xfId="0" applyNumberFormat="1" applyFont="1" applyAlignment="1">
      <alignment vertical="center" wrapText="1"/>
    </xf>
    <xf numFmtId="165" fontId="22" fillId="0" borderId="0" xfId="0" applyNumberFormat="1" applyFont="1" applyAlignment="1">
      <alignment vertical="center" wrapText="1"/>
    </xf>
    <xf numFmtId="0" fontId="26" fillId="0" borderId="0" xfId="0" applyFont="1"/>
    <xf numFmtId="49" fontId="7" fillId="0" borderId="5" xfId="0" applyNumberFormat="1" applyFont="1" applyFill="1" applyBorder="1" applyAlignment="1">
      <alignment horizontal="center" vertical="center" wrapText="1"/>
    </xf>
    <xf numFmtId="49" fontId="24" fillId="0" borderId="6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0" fontId="11" fillId="0" borderId="5" xfId="0" applyFont="1" applyFill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22" fillId="7" borderId="13" xfId="0" applyFont="1" applyFill="1" applyBorder="1"/>
    <xf numFmtId="165" fontId="22" fillId="7" borderId="14" xfId="0" applyNumberFormat="1" applyFont="1" applyFill="1" applyBorder="1" applyAlignment="1">
      <alignment vertical="center" wrapText="1"/>
    </xf>
    <xf numFmtId="165" fontId="22" fillId="7" borderId="15" xfId="0" applyNumberFormat="1" applyFont="1" applyFill="1" applyBorder="1" applyAlignment="1">
      <alignment vertical="center" wrapText="1"/>
    </xf>
    <xf numFmtId="0" fontId="22" fillId="7" borderId="13" xfId="0" applyFont="1" applyFill="1" applyBorder="1" applyAlignment="1">
      <alignment vertical="center"/>
    </xf>
    <xf numFmtId="165" fontId="22" fillId="7" borderId="0" xfId="0" applyNumberFormat="1" applyFont="1" applyFill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165" fontId="22" fillId="0" borderId="10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164" fontId="5" fillId="0" borderId="0" xfId="0" applyNumberFormat="1" applyFont="1" applyFill="1" applyAlignment="1">
      <alignment vertical="center" wrapText="1"/>
    </xf>
    <xf numFmtId="171" fontId="1" fillId="0" borderId="0" xfId="0" applyNumberFormat="1" applyFont="1" applyAlignment="1">
      <alignment vertical="center" wrapText="1"/>
    </xf>
    <xf numFmtId="164" fontId="13" fillId="0" borderId="0" xfId="0" applyNumberFormat="1" applyFont="1" applyFill="1" applyAlignment="1">
      <alignment vertical="center" wrapText="1"/>
    </xf>
    <xf numFmtId="165" fontId="27" fillId="0" borderId="6" xfId="0" applyNumberFormat="1" applyFont="1" applyBorder="1" applyAlignment="1">
      <alignment vertical="center" wrapText="1"/>
    </xf>
    <xf numFmtId="164" fontId="27" fillId="0" borderId="0" xfId="0" applyNumberFormat="1" applyFont="1" applyAlignment="1">
      <alignment vertical="center" wrapText="1"/>
    </xf>
    <xf numFmtId="164" fontId="27" fillId="0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5" fontId="22" fillId="0" borderId="15" xfId="0" applyNumberFormat="1" applyFont="1" applyBorder="1" applyAlignment="1">
      <alignment vertical="center" wrapText="1"/>
    </xf>
    <xf numFmtId="0" fontId="24" fillId="0" borderId="10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165" fontId="5" fillId="0" borderId="14" xfId="0" applyNumberFormat="1" applyFont="1" applyFill="1" applyBorder="1" applyAlignment="1">
      <alignment vertical="center" wrapText="1"/>
    </xf>
    <xf numFmtId="165" fontId="5" fillId="0" borderId="14" xfId="0" applyNumberFormat="1" applyFont="1" applyBorder="1" applyAlignment="1">
      <alignment vertical="center" wrapText="1"/>
    </xf>
    <xf numFmtId="165" fontId="5" fillId="0" borderId="15" xfId="0" applyNumberFormat="1" applyFont="1" applyBorder="1" applyAlignment="1">
      <alignment vertical="center" wrapText="1"/>
    </xf>
    <xf numFmtId="165" fontId="5" fillId="0" borderId="0" xfId="0" applyNumberFormat="1" applyFont="1" applyFill="1" applyAlignment="1">
      <alignment vertical="center" wrapText="1"/>
    </xf>
    <xf numFmtId="0" fontId="32" fillId="0" borderId="0" xfId="0" applyFont="1" applyBorder="1"/>
    <xf numFmtId="0" fontId="34" fillId="0" borderId="0" xfId="0" applyFont="1" applyBorder="1"/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165" fontId="30" fillId="0" borderId="6" xfId="0" applyNumberFormat="1" applyFont="1" applyBorder="1" applyAlignment="1">
      <alignment horizontal="right" vertical="center" wrapText="1"/>
    </xf>
    <xf numFmtId="165" fontId="31" fillId="0" borderId="10" xfId="0" applyNumberFormat="1" applyFont="1" applyBorder="1" applyAlignment="1">
      <alignment horizontal="right" vertical="center" wrapText="1"/>
    </xf>
    <xf numFmtId="0" fontId="29" fillId="0" borderId="13" xfId="0" applyFont="1" applyBorder="1" applyAlignment="1">
      <alignment horizontal="justify" vertical="center" wrapText="1"/>
    </xf>
    <xf numFmtId="165" fontId="29" fillId="0" borderId="14" xfId="0" applyNumberFormat="1" applyFont="1" applyBorder="1" applyAlignment="1">
      <alignment horizontal="right" vertical="center" wrapText="1"/>
    </xf>
    <xf numFmtId="165" fontId="33" fillId="0" borderId="15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 shrinkToFit="1"/>
    </xf>
    <xf numFmtId="165" fontId="35" fillId="0" borderId="0" xfId="0" applyNumberFormat="1" applyFont="1" applyAlignment="1">
      <alignment vertical="center" wrapText="1"/>
    </xf>
    <xf numFmtId="0" fontId="35" fillId="0" borderId="5" xfId="0" applyFont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 shrinkToFi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165" fontId="35" fillId="0" borderId="6" xfId="0" applyNumberFormat="1" applyFont="1" applyBorder="1" applyAlignment="1">
      <alignment vertical="center" wrapText="1"/>
    </xf>
    <xf numFmtId="165" fontId="35" fillId="0" borderId="10" xfId="0" applyNumberFormat="1" applyFont="1" applyBorder="1" applyAlignment="1">
      <alignment vertical="center" wrapText="1"/>
    </xf>
    <xf numFmtId="165" fontId="22" fillId="7" borderId="6" xfId="0" applyNumberFormat="1" applyFont="1" applyFill="1" applyBorder="1" applyAlignment="1">
      <alignment vertical="center" wrapText="1"/>
    </xf>
    <xf numFmtId="165" fontId="22" fillId="7" borderId="10" xfId="0" applyNumberFormat="1" applyFont="1" applyFill="1" applyBorder="1" applyAlignment="1">
      <alignment vertical="center" wrapText="1"/>
    </xf>
    <xf numFmtId="0" fontId="24" fillId="0" borderId="6" xfId="0" applyFont="1" applyBorder="1" applyAlignment="1">
      <alignment horizontal="center" vertical="center" wrapText="1"/>
    </xf>
    <xf numFmtId="165" fontId="22" fillId="0" borderId="14" xfId="0" applyNumberFormat="1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vertical="center" wrapText="1"/>
    </xf>
    <xf numFmtId="165" fontId="5" fillId="0" borderId="10" xfId="0" applyNumberFormat="1" applyFont="1" applyFill="1" applyBorder="1" applyAlignment="1">
      <alignment vertical="center" wrapText="1"/>
    </xf>
    <xf numFmtId="44" fontId="11" fillId="0" borderId="0" xfId="0" applyNumberFormat="1" applyFont="1" applyFill="1" applyAlignment="1">
      <alignment vertical="top" wrapText="1"/>
    </xf>
    <xf numFmtId="44" fontId="11" fillId="0" borderId="0" xfId="0" applyNumberFormat="1" applyFont="1" applyFill="1" applyAlignment="1">
      <alignment horizontal="right" vertical="top" wrapText="1"/>
    </xf>
    <xf numFmtId="44" fontId="11" fillId="0" borderId="0" xfId="0" applyNumberFormat="1" applyFont="1" applyFill="1" applyAlignment="1">
      <alignment horizontal="right" vertical="top"/>
    </xf>
    <xf numFmtId="0" fontId="36" fillId="0" borderId="0" xfId="0" applyNumberFormat="1" applyFont="1" applyFill="1" applyBorder="1" applyAlignment="1">
      <alignment horizontal="center" vertical="top" wrapText="1"/>
    </xf>
    <xf numFmtId="0" fontId="28" fillId="0" borderId="0" xfId="0" applyNumberFormat="1" applyFont="1" applyFill="1" applyBorder="1" applyAlignment="1">
      <alignment horizontal="center" vertical="top" wrapText="1"/>
    </xf>
    <xf numFmtId="44" fontId="18" fillId="0" borderId="0" xfId="0" applyNumberFormat="1" applyFont="1" applyFill="1" applyAlignment="1">
      <alignment horizontal="right" vertical="top" wrapText="1"/>
    </xf>
    <xf numFmtId="172" fontId="28" fillId="0" borderId="6" xfId="0" applyNumberFormat="1" applyFont="1" applyFill="1" applyBorder="1" applyAlignment="1">
      <alignment horizontal="right" vertical="center" wrapText="1"/>
    </xf>
    <xf numFmtId="172" fontId="18" fillId="0" borderId="6" xfId="0" applyNumberFormat="1" applyFont="1" applyFill="1" applyBorder="1" applyAlignment="1">
      <alignment horizontal="right" vertical="center" wrapText="1"/>
    </xf>
    <xf numFmtId="172" fontId="28" fillId="0" borderId="6" xfId="0" applyNumberFormat="1" applyFont="1" applyFill="1" applyBorder="1" applyAlignment="1">
      <alignment horizontal="right" vertical="top" wrapText="1"/>
    </xf>
    <xf numFmtId="172" fontId="11" fillId="0" borderId="6" xfId="0" applyNumberFormat="1" applyFont="1" applyFill="1" applyBorder="1" applyAlignment="1">
      <alignment horizontal="right" vertical="center" wrapText="1"/>
    </xf>
    <xf numFmtId="172" fontId="28" fillId="0" borderId="22" xfId="0" applyNumberFormat="1" applyFont="1" applyFill="1" applyBorder="1" applyAlignment="1">
      <alignment horizontal="right" vertical="center" wrapText="1"/>
    </xf>
    <xf numFmtId="165" fontId="11" fillId="0" borderId="0" xfId="0" applyNumberFormat="1" applyFont="1" applyFill="1" applyAlignment="1">
      <alignment vertical="center" wrapText="1"/>
    </xf>
    <xf numFmtId="173" fontId="11" fillId="0" borderId="0" xfId="0" applyNumberFormat="1" applyFont="1" applyFill="1" applyAlignment="1">
      <alignment vertical="top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8" fillId="0" borderId="6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0" fontId="28" fillId="0" borderId="5" xfId="0" applyNumberFormat="1" applyFont="1" applyFill="1" applyBorder="1" applyAlignment="1">
      <alignment vertical="center" wrapText="1"/>
    </xf>
    <xf numFmtId="172" fontId="28" fillId="0" borderId="10" xfId="0" applyNumberFormat="1" applyFont="1" applyFill="1" applyBorder="1" applyAlignment="1">
      <alignment horizontal="right" vertical="center" wrapText="1"/>
    </xf>
    <xf numFmtId="0" fontId="18" fillId="0" borderId="5" xfId="0" applyNumberFormat="1" applyFont="1" applyFill="1" applyBorder="1" applyAlignment="1">
      <alignment vertical="center" wrapText="1"/>
    </xf>
    <xf numFmtId="172" fontId="18" fillId="0" borderId="10" xfId="0" applyNumberFormat="1" applyFont="1" applyFill="1" applyBorder="1" applyAlignment="1">
      <alignment horizontal="right" vertical="center" wrapText="1"/>
    </xf>
    <xf numFmtId="0" fontId="37" fillId="0" borderId="5" xfId="0" applyNumberFormat="1" applyFont="1" applyFill="1" applyBorder="1" applyAlignment="1">
      <alignment vertical="top" wrapText="1"/>
    </xf>
    <xf numFmtId="172" fontId="28" fillId="0" borderId="10" xfId="0" applyNumberFormat="1" applyFont="1" applyFill="1" applyBorder="1" applyAlignment="1">
      <alignment horizontal="right" vertical="top" wrapText="1"/>
    </xf>
    <xf numFmtId="0" fontId="37" fillId="0" borderId="5" xfId="0" applyNumberFormat="1" applyFont="1" applyFill="1" applyBorder="1" applyAlignment="1">
      <alignment vertical="center" wrapText="1"/>
    </xf>
    <xf numFmtId="0" fontId="11" fillId="0" borderId="5" xfId="0" applyNumberFormat="1" applyFont="1" applyFill="1" applyBorder="1" applyAlignment="1">
      <alignment vertical="center" wrapText="1"/>
    </xf>
    <xf numFmtId="172" fontId="11" fillId="0" borderId="10" xfId="0" applyNumberFormat="1" applyFont="1" applyFill="1" applyBorder="1" applyAlignment="1">
      <alignment horizontal="right" vertical="center" wrapText="1"/>
    </xf>
    <xf numFmtId="0" fontId="38" fillId="0" borderId="5" xfId="0" applyNumberFormat="1" applyFont="1" applyFill="1" applyBorder="1" applyAlignment="1">
      <alignment vertical="center" wrapText="1"/>
    </xf>
    <xf numFmtId="0" fontId="28" fillId="0" borderId="5" xfId="6" applyNumberFormat="1" applyFont="1" applyBorder="1" applyProtection="1">
      <alignment horizontal="left" vertical="top" wrapText="1"/>
      <protection locked="0"/>
    </xf>
    <xf numFmtId="0" fontId="18" fillId="0" borderId="5" xfId="6" applyNumberFormat="1" applyFont="1" applyBorder="1" applyProtection="1">
      <alignment horizontal="left" vertical="top" wrapText="1"/>
      <protection locked="0"/>
    </xf>
    <xf numFmtId="0" fontId="28" fillId="0" borderId="13" xfId="0" applyNumberFormat="1" applyFont="1" applyFill="1" applyBorder="1" applyAlignment="1">
      <alignment vertical="center" wrapText="1"/>
    </xf>
    <xf numFmtId="172" fontId="28" fillId="0" borderId="14" xfId="0" applyNumberFormat="1" applyFont="1" applyFill="1" applyBorder="1" applyAlignment="1">
      <alignment horizontal="right" vertical="center" wrapText="1"/>
    </xf>
    <xf numFmtId="172" fontId="28" fillId="0" borderId="15" xfId="0" applyNumberFormat="1" applyFont="1" applyFill="1" applyBorder="1" applyAlignment="1">
      <alignment horizontal="right" vertical="center" wrapText="1"/>
    </xf>
    <xf numFmtId="165" fontId="11" fillId="5" borderId="0" xfId="0" applyNumberFormat="1" applyFont="1" applyFill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165" fontId="11" fillId="5" borderId="6" xfId="0" applyNumberFormat="1" applyFont="1" applyFill="1" applyBorder="1" applyAlignment="1">
      <alignment vertical="center" wrapText="1"/>
    </xf>
    <xf numFmtId="165" fontId="22" fillId="5" borderId="6" xfId="0" applyNumberFormat="1" applyFont="1" applyFill="1" applyBorder="1" applyAlignment="1">
      <alignment vertical="center" wrapText="1"/>
    </xf>
    <xf numFmtId="165" fontId="22" fillId="0" borderId="6" xfId="0" applyNumberFormat="1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165" fontId="41" fillId="5" borderId="14" xfId="0" applyNumberFormat="1" applyFont="1" applyFill="1" applyBorder="1" applyAlignment="1">
      <alignment vertical="center" wrapText="1"/>
    </xf>
    <xf numFmtId="165" fontId="22" fillId="0" borderId="14" xfId="0" applyNumberFormat="1" applyFont="1" applyFill="1" applyBorder="1" applyAlignment="1">
      <alignment vertical="center" wrapText="1"/>
    </xf>
    <xf numFmtId="165" fontId="22" fillId="5" borderId="14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165" fontId="24" fillId="0" borderId="5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165" fontId="11" fillId="0" borderId="5" xfId="0" applyNumberFormat="1" applyFont="1" applyFill="1" applyBorder="1" applyAlignment="1">
      <alignment vertical="center" wrapText="1"/>
    </xf>
    <xf numFmtId="165" fontId="22" fillId="5" borderId="5" xfId="0" applyNumberFormat="1" applyFont="1" applyFill="1" applyBorder="1" applyAlignment="1">
      <alignment vertical="center" wrapText="1"/>
    </xf>
    <xf numFmtId="165" fontId="22" fillId="5" borderId="10" xfId="0" applyNumberFormat="1" applyFont="1" applyFill="1" applyBorder="1" applyAlignment="1">
      <alignment vertical="center" wrapText="1"/>
    </xf>
    <xf numFmtId="165" fontId="22" fillId="0" borderId="0" xfId="0" applyNumberFormat="1" applyFont="1" applyFill="1" applyAlignment="1">
      <alignment vertical="center" wrapText="1"/>
    </xf>
    <xf numFmtId="165" fontId="11" fillId="0" borderId="5" xfId="0" applyNumberFormat="1" applyFont="1" applyBorder="1" applyAlignment="1">
      <alignment vertical="center" wrapText="1"/>
    </xf>
    <xf numFmtId="165" fontId="22" fillId="5" borderId="13" xfId="0" applyNumberFormat="1" applyFont="1" applyFill="1" applyBorder="1" applyAlignment="1">
      <alignment vertical="center" wrapText="1"/>
    </xf>
    <xf numFmtId="165" fontId="22" fillId="5" borderId="15" xfId="0" applyNumberFormat="1" applyFont="1" applyFill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65" fontId="22" fillId="5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horizontal="right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righ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/>
    </xf>
    <xf numFmtId="0" fontId="23" fillId="0" borderId="0" xfId="0" applyFont="1" applyFill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165" fontId="22" fillId="0" borderId="0" xfId="0" applyNumberFormat="1" applyFont="1" applyAlignment="1">
      <alignment horizontal="right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right" vertical="center" wrapText="1"/>
    </xf>
    <xf numFmtId="44" fontId="11" fillId="0" borderId="0" xfId="0" applyNumberFormat="1" applyFont="1" applyFill="1" applyAlignment="1">
      <alignment horizontal="right" vertical="top" wrapText="1"/>
    </xf>
    <xf numFmtId="0" fontId="36" fillId="0" borderId="0" xfId="0" applyNumberFormat="1" applyFont="1" applyFill="1" applyBorder="1" applyAlignment="1">
      <alignment horizontal="center" vertical="top" wrapText="1"/>
    </xf>
    <xf numFmtId="0" fontId="22" fillId="0" borderId="2" xfId="0" applyNumberFormat="1" applyFont="1" applyFill="1" applyBorder="1" applyAlignment="1">
      <alignment horizontal="center" vertical="center" wrapText="1"/>
    </xf>
    <xf numFmtId="44" fontId="22" fillId="0" borderId="5" xfId="0" applyNumberFormat="1" applyFont="1" applyFill="1" applyBorder="1" applyAlignment="1">
      <alignment horizontal="center" vertical="top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6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165" fontId="22" fillId="0" borderId="0" xfId="0" applyNumberFormat="1" applyFont="1" applyAlignment="1">
      <alignment horizontal="right" vertical="top" wrapText="1"/>
    </xf>
    <xf numFmtId="0" fontId="11" fillId="0" borderId="1" xfId="0" applyFont="1" applyBorder="1" applyAlignment="1">
      <alignment horizontal="right" vertical="center" wrapText="1"/>
    </xf>
    <xf numFmtId="165" fontId="22" fillId="0" borderId="2" xfId="0" applyNumberFormat="1" applyFont="1" applyFill="1" applyBorder="1" applyAlignment="1">
      <alignment horizontal="center" vertical="center" wrapText="1"/>
    </xf>
    <xf numFmtId="165" fontId="22" fillId="0" borderId="5" xfId="0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top" wrapText="1"/>
    </xf>
    <xf numFmtId="0" fontId="22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</cellXfs>
  <cellStyles count="7">
    <cellStyle name="xl100" xfId="3"/>
    <cellStyle name="xl107" xfId="4"/>
    <cellStyle name="xl109" xfId="5"/>
    <cellStyle name="xl251" xfId="1"/>
    <cellStyle name="xl32" xfId="6"/>
    <cellStyle name="xl57" xfId="2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95;&#1077;&#1074;_&#1060;&#1086;&#1085;&#1076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нд_все"/>
      <sheetName val="Фонд_мероприятия"/>
      <sheetName val="Черн"/>
    </sheetNames>
    <sheetDataSet>
      <sheetData sheetId="0"/>
      <sheetData sheetId="1"/>
      <sheetData sheetId="2">
        <row r="7">
          <cell r="F7">
            <v>67723.785499999998</v>
          </cell>
          <cell r="G7">
            <v>0</v>
          </cell>
          <cell r="H7">
            <v>67723.785499999998</v>
          </cell>
          <cell r="M7">
            <v>6327.60826</v>
          </cell>
          <cell r="N7">
            <v>0</v>
          </cell>
          <cell r="O7">
            <v>6327.60826</v>
          </cell>
          <cell r="T7">
            <v>28946.956489999997</v>
          </cell>
          <cell r="U7">
            <v>0</v>
          </cell>
          <cell r="V7">
            <v>28946.956489999997</v>
          </cell>
          <cell r="AA7">
            <v>2050.4021299999999</v>
          </cell>
          <cell r="AB7">
            <v>0</v>
          </cell>
          <cell r="AC7">
            <v>2050.4021299999999</v>
          </cell>
          <cell r="AH7">
            <v>38776.829010000001</v>
          </cell>
          <cell r="AI7">
            <v>0</v>
          </cell>
          <cell r="AJ7">
            <v>38776.829010000001</v>
          </cell>
          <cell r="AO7">
            <v>4277.2061299999996</v>
          </cell>
          <cell r="AP7">
            <v>0</v>
          </cell>
          <cell r="AQ7">
            <v>4277.2061299999996</v>
          </cell>
          <cell r="AV7">
            <v>0</v>
          </cell>
          <cell r="AW7">
            <v>0</v>
          </cell>
          <cell r="AX7">
            <v>0</v>
          </cell>
          <cell r="BC7">
            <v>0</v>
          </cell>
          <cell r="BD7">
            <v>0</v>
          </cell>
          <cell r="BE7">
            <v>0</v>
          </cell>
          <cell r="BM7">
            <v>35373.021999999997</v>
          </cell>
          <cell r="BN7">
            <v>0</v>
          </cell>
          <cell r="BO7">
            <v>35373.021999999997</v>
          </cell>
          <cell r="BT7">
            <v>0</v>
          </cell>
          <cell r="BU7">
            <v>0</v>
          </cell>
          <cell r="BV7">
            <v>0</v>
          </cell>
          <cell r="CD7">
            <v>32350.763500000001</v>
          </cell>
          <cell r="CE7">
            <v>0</v>
          </cell>
          <cell r="CF7">
            <v>32350.763500000001</v>
          </cell>
          <cell r="CK7">
            <v>6327.60826</v>
          </cell>
          <cell r="CL7">
            <v>0</v>
          </cell>
          <cell r="CM7">
            <v>6327.60826</v>
          </cell>
        </row>
        <row r="8">
          <cell r="F8">
            <v>64427.409</v>
          </cell>
          <cell r="G8">
            <v>42841.68</v>
          </cell>
          <cell r="H8">
            <v>21585.728999999999</v>
          </cell>
          <cell r="M8">
            <v>21585.728999999999</v>
          </cell>
          <cell r="N8">
            <v>0</v>
          </cell>
          <cell r="O8">
            <v>21585.728999999999</v>
          </cell>
          <cell r="T8">
            <v>28063.696050000002</v>
          </cell>
          <cell r="U8">
            <v>23322.692190000002</v>
          </cell>
          <cell r="V8">
            <v>4741.0038600000007</v>
          </cell>
          <cell r="AA8">
            <v>4741.0038600000007</v>
          </cell>
          <cell r="AB8">
            <v>0</v>
          </cell>
          <cell r="AC8">
            <v>4741.0038600000007</v>
          </cell>
          <cell r="AH8">
            <v>36363.712950000001</v>
          </cell>
          <cell r="AI8">
            <v>19518.987809999999</v>
          </cell>
          <cell r="AJ8">
            <v>16844.725140000002</v>
          </cell>
          <cell r="AO8">
            <v>16844.725140000002</v>
          </cell>
          <cell r="AP8">
            <v>0</v>
          </cell>
          <cell r="AQ8">
            <v>16844.725140000002</v>
          </cell>
          <cell r="AV8">
            <v>0</v>
          </cell>
          <cell r="AW8">
            <v>0</v>
          </cell>
          <cell r="AX8">
            <v>0</v>
          </cell>
          <cell r="BC8">
            <v>0</v>
          </cell>
          <cell r="BD8">
            <v>0</v>
          </cell>
          <cell r="BE8">
            <v>0</v>
          </cell>
          <cell r="BM8">
            <v>44133.105619999995</v>
          </cell>
          <cell r="BN8">
            <v>42841.68</v>
          </cell>
          <cell r="BO8">
            <v>1291.4256200000002</v>
          </cell>
          <cell r="BT8">
            <v>1291.4256200000002</v>
          </cell>
          <cell r="BU8">
            <v>0</v>
          </cell>
          <cell r="BV8">
            <v>1291.4256200000002</v>
          </cell>
          <cell r="CD8">
            <v>20294.303379999998</v>
          </cell>
          <cell r="CE8">
            <v>0</v>
          </cell>
          <cell r="CF8">
            <v>20294.303379999998</v>
          </cell>
          <cell r="CK8">
            <v>20294.303379999998</v>
          </cell>
          <cell r="CL8">
            <v>0</v>
          </cell>
          <cell r="CM8">
            <v>20294.303379999998</v>
          </cell>
        </row>
        <row r="9">
          <cell r="F9">
            <v>1318</v>
          </cell>
          <cell r="G9">
            <v>1268</v>
          </cell>
          <cell r="H9">
            <v>50</v>
          </cell>
          <cell r="M9">
            <v>2.1816900000000001</v>
          </cell>
          <cell r="N9">
            <v>2.1816900000000001</v>
          </cell>
          <cell r="O9">
            <v>0</v>
          </cell>
          <cell r="T9">
            <v>50</v>
          </cell>
          <cell r="U9">
            <v>0</v>
          </cell>
          <cell r="V9">
            <v>50</v>
          </cell>
          <cell r="AA9">
            <v>0</v>
          </cell>
          <cell r="AB9">
            <v>0</v>
          </cell>
          <cell r="AC9">
            <v>0</v>
          </cell>
          <cell r="AH9">
            <v>1268</v>
          </cell>
          <cell r="AI9">
            <v>1268</v>
          </cell>
          <cell r="AJ9">
            <v>0</v>
          </cell>
          <cell r="AO9">
            <v>2.1816900000000001</v>
          </cell>
          <cell r="AP9">
            <v>2.1816900000000001</v>
          </cell>
          <cell r="AQ9">
            <v>0</v>
          </cell>
          <cell r="AV9">
            <v>1318</v>
          </cell>
          <cell r="AW9">
            <v>1268</v>
          </cell>
          <cell r="AX9">
            <v>50</v>
          </cell>
          <cell r="BC9">
            <v>2.1816900000000001</v>
          </cell>
          <cell r="BD9">
            <v>2.1816900000000001</v>
          </cell>
          <cell r="BE9">
            <v>0</v>
          </cell>
          <cell r="BM9">
            <v>0</v>
          </cell>
          <cell r="BN9">
            <v>0</v>
          </cell>
          <cell r="BO9">
            <v>0</v>
          </cell>
          <cell r="BT9">
            <v>0</v>
          </cell>
          <cell r="BU9">
            <v>0</v>
          </cell>
          <cell r="BV9">
            <v>0</v>
          </cell>
          <cell r="CD9">
            <v>0</v>
          </cell>
          <cell r="CE9">
            <v>0</v>
          </cell>
          <cell r="CF9">
            <v>0</v>
          </cell>
          <cell r="CK9">
            <v>0</v>
          </cell>
          <cell r="CL9">
            <v>0</v>
          </cell>
          <cell r="CM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M10">
            <v>0</v>
          </cell>
          <cell r="N10">
            <v>0</v>
          </cell>
          <cell r="O10">
            <v>0</v>
          </cell>
          <cell r="T10">
            <v>0</v>
          </cell>
          <cell r="U10">
            <v>0</v>
          </cell>
          <cell r="V10">
            <v>0</v>
          </cell>
          <cell r="AA10">
            <v>0</v>
          </cell>
          <cell r="AB10">
            <v>0</v>
          </cell>
          <cell r="AC10">
            <v>0</v>
          </cell>
          <cell r="AH10">
            <v>0</v>
          </cell>
          <cell r="AI10">
            <v>0</v>
          </cell>
          <cell r="AJ10">
            <v>0</v>
          </cell>
          <cell r="AO10">
            <v>0</v>
          </cell>
          <cell r="AP10">
            <v>0</v>
          </cell>
          <cell r="AQ10">
            <v>0</v>
          </cell>
          <cell r="AV10">
            <v>0</v>
          </cell>
          <cell r="AW10">
            <v>0</v>
          </cell>
          <cell r="AX10">
            <v>0</v>
          </cell>
          <cell r="BC10">
            <v>0</v>
          </cell>
          <cell r="BD10">
            <v>0</v>
          </cell>
          <cell r="BE10">
            <v>0</v>
          </cell>
          <cell r="BM10">
            <v>0</v>
          </cell>
          <cell r="BN10">
            <v>0</v>
          </cell>
          <cell r="BO10">
            <v>0</v>
          </cell>
          <cell r="BT10">
            <v>0</v>
          </cell>
          <cell r="BU10">
            <v>0</v>
          </cell>
          <cell r="BV10">
            <v>0</v>
          </cell>
          <cell r="CD10">
            <v>0</v>
          </cell>
          <cell r="CE10">
            <v>0</v>
          </cell>
          <cell r="CF10">
            <v>0</v>
          </cell>
          <cell r="CK10">
            <v>0</v>
          </cell>
          <cell r="CL10">
            <v>0</v>
          </cell>
          <cell r="CM10">
            <v>0</v>
          </cell>
        </row>
        <row r="11">
          <cell r="F11">
            <v>31028.909259999997</v>
          </cell>
          <cell r="G11">
            <v>14919.692999999999</v>
          </cell>
          <cell r="H11">
            <v>16109.216259999999</v>
          </cell>
          <cell r="M11">
            <v>31028.909259999997</v>
          </cell>
          <cell r="N11">
            <v>14919.692999999999</v>
          </cell>
          <cell r="O11">
            <v>16109.216259999999</v>
          </cell>
          <cell r="T11">
            <v>31028.909259999997</v>
          </cell>
          <cell r="U11">
            <v>14919.692999999999</v>
          </cell>
          <cell r="V11">
            <v>16109.216259999999</v>
          </cell>
          <cell r="AA11">
            <v>31028.909259999997</v>
          </cell>
          <cell r="AB11">
            <v>14919.692999999999</v>
          </cell>
          <cell r="AC11">
            <v>16109.216259999999</v>
          </cell>
          <cell r="AH11">
            <v>0</v>
          </cell>
          <cell r="AI11">
            <v>0</v>
          </cell>
          <cell r="AJ11">
            <v>0</v>
          </cell>
          <cell r="AO11">
            <v>0</v>
          </cell>
          <cell r="AP11">
            <v>0</v>
          </cell>
          <cell r="AQ11">
            <v>0</v>
          </cell>
          <cell r="AV11">
            <v>0</v>
          </cell>
          <cell r="AW11">
            <v>0</v>
          </cell>
          <cell r="AX11">
            <v>0</v>
          </cell>
          <cell r="BC11">
            <v>0</v>
          </cell>
          <cell r="BD11">
            <v>0</v>
          </cell>
          <cell r="BE11">
            <v>0</v>
          </cell>
          <cell r="BM11">
            <v>0</v>
          </cell>
          <cell r="BN11">
            <v>0</v>
          </cell>
          <cell r="BO11">
            <v>0</v>
          </cell>
          <cell r="BT11">
            <v>0</v>
          </cell>
          <cell r="BU11">
            <v>0</v>
          </cell>
          <cell r="BV11">
            <v>0</v>
          </cell>
          <cell r="CD11">
            <v>31028.909259999997</v>
          </cell>
          <cell r="CE11">
            <v>14919.692999999999</v>
          </cell>
          <cell r="CF11">
            <v>16109.216259999999</v>
          </cell>
          <cell r="CK11">
            <v>31028.909259999997</v>
          </cell>
          <cell r="CL11">
            <v>14919.692999999999</v>
          </cell>
          <cell r="CM11">
            <v>16109.216259999999</v>
          </cell>
        </row>
        <row r="12">
          <cell r="F12">
            <v>144039.00922000001</v>
          </cell>
          <cell r="G12">
            <v>0</v>
          </cell>
          <cell r="H12">
            <v>144039.00922000001</v>
          </cell>
          <cell r="M12">
            <v>139250.42729000002</v>
          </cell>
          <cell r="N12">
            <v>0</v>
          </cell>
          <cell r="O12">
            <v>139250.42729000002</v>
          </cell>
          <cell r="T12">
            <v>111388.45064</v>
          </cell>
          <cell r="U12">
            <v>0</v>
          </cell>
          <cell r="V12">
            <v>111388.45064</v>
          </cell>
          <cell r="AA12">
            <v>108884.08149</v>
          </cell>
          <cell r="AB12">
            <v>0</v>
          </cell>
          <cell r="AC12">
            <v>108884.08149</v>
          </cell>
          <cell r="AH12">
            <v>32650.558579999997</v>
          </cell>
          <cell r="AI12">
            <v>0</v>
          </cell>
          <cell r="AJ12">
            <v>32650.558579999997</v>
          </cell>
          <cell r="AO12">
            <v>30366.345799999996</v>
          </cell>
          <cell r="AP12">
            <v>0</v>
          </cell>
          <cell r="AQ12">
            <v>30366.345799999996</v>
          </cell>
          <cell r="AV12">
            <v>1300</v>
          </cell>
          <cell r="AW12">
            <v>0</v>
          </cell>
          <cell r="AX12">
            <v>1300</v>
          </cell>
          <cell r="BC12">
            <v>330.19828999999999</v>
          </cell>
          <cell r="BD12">
            <v>0</v>
          </cell>
          <cell r="BE12">
            <v>330.19828999999999</v>
          </cell>
          <cell r="BM12">
            <v>0</v>
          </cell>
          <cell r="BN12">
            <v>0</v>
          </cell>
          <cell r="BO12">
            <v>0</v>
          </cell>
          <cell r="BT12">
            <v>0</v>
          </cell>
          <cell r="BU12">
            <v>0</v>
          </cell>
          <cell r="BV12">
            <v>0</v>
          </cell>
          <cell r="CD12">
            <v>142739.00922000001</v>
          </cell>
          <cell r="CE12">
            <v>0</v>
          </cell>
          <cell r="CF12">
            <v>142739.00922000001</v>
          </cell>
          <cell r="CK12">
            <v>138920.22899999999</v>
          </cell>
          <cell r="CL12">
            <v>0</v>
          </cell>
          <cell r="CM12">
            <v>138920.22899999999</v>
          </cell>
        </row>
        <row r="13">
          <cell r="F13">
            <v>24708.759600000001</v>
          </cell>
          <cell r="G13">
            <v>0</v>
          </cell>
          <cell r="H13">
            <v>24708.759600000001</v>
          </cell>
          <cell r="M13">
            <v>6.98</v>
          </cell>
          <cell r="N13">
            <v>0</v>
          </cell>
          <cell r="O13">
            <v>6.98</v>
          </cell>
          <cell r="T13">
            <v>16088.700710000001</v>
          </cell>
          <cell r="U13">
            <v>0</v>
          </cell>
          <cell r="V13">
            <v>16088.700710000001</v>
          </cell>
          <cell r="AA13">
            <v>0</v>
          </cell>
          <cell r="AB13">
            <v>0</v>
          </cell>
          <cell r="AC13">
            <v>0</v>
          </cell>
          <cell r="AH13">
            <v>8620.0588900000002</v>
          </cell>
          <cell r="AI13">
            <v>0</v>
          </cell>
          <cell r="AJ13">
            <v>8620.0588900000002</v>
          </cell>
          <cell r="AO13">
            <v>6.98</v>
          </cell>
          <cell r="AP13">
            <v>0</v>
          </cell>
          <cell r="AQ13">
            <v>6.98</v>
          </cell>
          <cell r="AV13">
            <v>790.5</v>
          </cell>
          <cell r="AW13">
            <v>0</v>
          </cell>
          <cell r="AX13">
            <v>790.5</v>
          </cell>
          <cell r="BC13">
            <v>6.98</v>
          </cell>
          <cell r="BD13">
            <v>0</v>
          </cell>
          <cell r="BE13">
            <v>6.98</v>
          </cell>
          <cell r="BM13">
            <v>4740.7043899999999</v>
          </cell>
          <cell r="BN13">
            <v>0</v>
          </cell>
          <cell r="BO13">
            <v>4740.7043899999999</v>
          </cell>
          <cell r="BT13">
            <v>0</v>
          </cell>
          <cell r="BU13">
            <v>0</v>
          </cell>
          <cell r="BV13">
            <v>0</v>
          </cell>
          <cell r="CD13">
            <v>19177.555210000002</v>
          </cell>
          <cell r="CE13">
            <v>0</v>
          </cell>
          <cell r="CF13">
            <v>19177.555210000002</v>
          </cell>
          <cell r="CK13">
            <v>0</v>
          </cell>
          <cell r="CL13">
            <v>0</v>
          </cell>
          <cell r="CM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0</v>
          </cell>
          <cell r="AA14">
            <v>0</v>
          </cell>
          <cell r="AB14">
            <v>0</v>
          </cell>
          <cell r="AC14">
            <v>0</v>
          </cell>
          <cell r="AH14">
            <v>0</v>
          </cell>
          <cell r="AI14">
            <v>0</v>
          </cell>
          <cell r="AJ14">
            <v>0</v>
          </cell>
          <cell r="AO14">
            <v>0</v>
          </cell>
          <cell r="AP14">
            <v>0</v>
          </cell>
          <cell r="AQ14">
            <v>0</v>
          </cell>
          <cell r="AV14">
            <v>0</v>
          </cell>
          <cell r="AW14">
            <v>0</v>
          </cell>
          <cell r="AX14">
            <v>0</v>
          </cell>
          <cell r="BC14">
            <v>0</v>
          </cell>
          <cell r="BD14">
            <v>0</v>
          </cell>
          <cell r="BE14">
            <v>0</v>
          </cell>
          <cell r="BM14">
            <v>0</v>
          </cell>
          <cell r="BN14">
            <v>0</v>
          </cell>
          <cell r="BO14">
            <v>0</v>
          </cell>
          <cell r="BT14">
            <v>0</v>
          </cell>
          <cell r="BU14">
            <v>0</v>
          </cell>
          <cell r="BV14">
            <v>0</v>
          </cell>
          <cell r="CD14">
            <v>0</v>
          </cell>
          <cell r="CE14">
            <v>0</v>
          </cell>
          <cell r="CF14">
            <v>0</v>
          </cell>
          <cell r="CK14">
            <v>0</v>
          </cell>
          <cell r="CL14">
            <v>0</v>
          </cell>
          <cell r="CM14">
            <v>0</v>
          </cell>
        </row>
        <row r="15">
          <cell r="F15">
            <v>23986.14183</v>
          </cell>
          <cell r="G15">
            <v>21491.161800000002</v>
          </cell>
          <cell r="H15">
            <v>2494.9800299999997</v>
          </cell>
          <cell r="M15">
            <v>2616.2944400000001</v>
          </cell>
          <cell r="N15">
            <v>121.31441000000001</v>
          </cell>
          <cell r="O15">
            <v>2494.9800299999997</v>
          </cell>
          <cell r="T15">
            <v>5160.5519100000001</v>
          </cell>
          <cell r="U15">
            <v>4377.3770500000001</v>
          </cell>
          <cell r="V15">
            <v>783.17485999999997</v>
          </cell>
          <cell r="AA15">
            <v>783.17485999999997</v>
          </cell>
          <cell r="AB15">
            <v>0</v>
          </cell>
          <cell r="AC15">
            <v>783.17485999999997</v>
          </cell>
          <cell r="AH15">
            <v>18825.589920000002</v>
          </cell>
          <cell r="AI15">
            <v>17113.784749999999</v>
          </cell>
          <cell r="AJ15">
            <v>1711.8051699999999</v>
          </cell>
          <cell r="AO15">
            <v>1833.1195799999998</v>
          </cell>
          <cell r="AP15">
            <v>121.31441000000001</v>
          </cell>
          <cell r="AQ15">
            <v>1711.8051699999999</v>
          </cell>
          <cell r="AV15">
            <v>2692.0497700000001</v>
          </cell>
          <cell r="AW15">
            <v>1606</v>
          </cell>
          <cell r="AX15">
            <v>1086.0497700000001</v>
          </cell>
          <cell r="BC15">
            <v>1207.36418</v>
          </cell>
          <cell r="BD15">
            <v>121.31441000000001</v>
          </cell>
          <cell r="BE15">
            <v>1086.0497700000001</v>
          </cell>
          <cell r="BM15">
            <v>20640.514170000002</v>
          </cell>
          <cell r="BN15">
            <v>19885.161800000002</v>
          </cell>
          <cell r="BO15">
            <v>755.35236999999995</v>
          </cell>
          <cell r="BT15">
            <v>755.35236999999995</v>
          </cell>
          <cell r="BU15">
            <v>0</v>
          </cell>
          <cell r="BV15">
            <v>755.35236999999995</v>
          </cell>
          <cell r="CD15">
            <v>653.57789000000002</v>
          </cell>
          <cell r="CE15">
            <v>0</v>
          </cell>
          <cell r="CF15">
            <v>653.57789000000002</v>
          </cell>
          <cell r="CK15">
            <v>653.57789000000002</v>
          </cell>
          <cell r="CL15">
            <v>0</v>
          </cell>
          <cell r="CM15">
            <v>653.57789000000002</v>
          </cell>
        </row>
        <row r="16">
          <cell r="F16">
            <v>0</v>
          </cell>
          <cell r="G16">
            <v>0</v>
          </cell>
          <cell r="H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0</v>
          </cell>
          <cell r="AA16">
            <v>0</v>
          </cell>
          <cell r="AB16">
            <v>0</v>
          </cell>
          <cell r="AC16">
            <v>0</v>
          </cell>
          <cell r="AH16">
            <v>0</v>
          </cell>
          <cell r="AI16">
            <v>0</v>
          </cell>
          <cell r="AJ16">
            <v>0</v>
          </cell>
          <cell r="AO16">
            <v>0</v>
          </cell>
          <cell r="AP16">
            <v>0</v>
          </cell>
          <cell r="AQ16">
            <v>0</v>
          </cell>
          <cell r="AV16">
            <v>0</v>
          </cell>
          <cell r="AW16">
            <v>0</v>
          </cell>
          <cell r="AX16">
            <v>0</v>
          </cell>
          <cell r="BC16">
            <v>0</v>
          </cell>
          <cell r="BD16">
            <v>0</v>
          </cell>
          <cell r="BE16">
            <v>0</v>
          </cell>
          <cell r="BM16">
            <v>0</v>
          </cell>
          <cell r="BN16">
            <v>0</v>
          </cell>
          <cell r="BO16">
            <v>0</v>
          </cell>
          <cell r="BT16">
            <v>0</v>
          </cell>
          <cell r="BU16">
            <v>0</v>
          </cell>
          <cell r="BV16">
            <v>0</v>
          </cell>
          <cell r="CD16">
            <v>0</v>
          </cell>
          <cell r="CE16">
            <v>0</v>
          </cell>
          <cell r="CF16">
            <v>0</v>
          </cell>
          <cell r="CK16">
            <v>0</v>
          </cell>
          <cell r="CL16">
            <v>0</v>
          </cell>
          <cell r="CM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M17">
            <v>0</v>
          </cell>
          <cell r="N17">
            <v>0</v>
          </cell>
          <cell r="O17">
            <v>0</v>
          </cell>
          <cell r="T17">
            <v>0</v>
          </cell>
          <cell r="U17">
            <v>0</v>
          </cell>
          <cell r="V17">
            <v>0</v>
          </cell>
          <cell r="AA17">
            <v>0</v>
          </cell>
          <cell r="AB17">
            <v>0</v>
          </cell>
          <cell r="AC17">
            <v>0</v>
          </cell>
          <cell r="AH17">
            <v>0</v>
          </cell>
          <cell r="AI17">
            <v>0</v>
          </cell>
          <cell r="AJ17">
            <v>0</v>
          </cell>
          <cell r="AO17">
            <v>0</v>
          </cell>
          <cell r="AP17">
            <v>0</v>
          </cell>
          <cell r="AQ17">
            <v>0</v>
          </cell>
          <cell r="AV17">
            <v>0</v>
          </cell>
          <cell r="AW17">
            <v>0</v>
          </cell>
          <cell r="AX17">
            <v>0</v>
          </cell>
          <cell r="BC17">
            <v>0</v>
          </cell>
          <cell r="BD17">
            <v>0</v>
          </cell>
          <cell r="BE17">
            <v>0</v>
          </cell>
          <cell r="BM17">
            <v>0</v>
          </cell>
          <cell r="BN17">
            <v>0</v>
          </cell>
          <cell r="BO17">
            <v>0</v>
          </cell>
          <cell r="BT17">
            <v>0</v>
          </cell>
          <cell r="BU17">
            <v>0</v>
          </cell>
          <cell r="BV17">
            <v>0</v>
          </cell>
          <cell r="CD17">
            <v>0</v>
          </cell>
          <cell r="CE17">
            <v>0</v>
          </cell>
          <cell r="CF17">
            <v>0</v>
          </cell>
          <cell r="CK17">
            <v>0</v>
          </cell>
          <cell r="CL17">
            <v>0</v>
          </cell>
          <cell r="CM17">
            <v>0</v>
          </cell>
        </row>
        <row r="18">
          <cell r="F18">
            <v>68984.481189999991</v>
          </cell>
          <cell r="G18">
            <v>50861.3802</v>
          </cell>
          <cell r="H18">
            <v>18123.100990000003</v>
          </cell>
          <cell r="M18">
            <v>13216.70859</v>
          </cell>
          <cell r="N18">
            <v>0</v>
          </cell>
          <cell r="O18">
            <v>13216.70859</v>
          </cell>
          <cell r="T18">
            <v>33360.574929999995</v>
          </cell>
          <cell r="U18">
            <v>27683.84924</v>
          </cell>
          <cell r="V18">
            <v>5676.7256899999993</v>
          </cell>
          <cell r="AA18">
            <v>3468.9657599999996</v>
          </cell>
          <cell r="AB18">
            <v>0</v>
          </cell>
          <cell r="AC18">
            <v>3468.9657599999996</v>
          </cell>
          <cell r="AH18">
            <v>35623.906259999996</v>
          </cell>
          <cell r="AI18">
            <v>23177.53096</v>
          </cell>
          <cell r="AJ18">
            <v>12446.375300000002</v>
          </cell>
          <cell r="AO18">
            <v>9747.7428299999992</v>
          </cell>
          <cell r="AP18">
            <v>0</v>
          </cell>
          <cell r="AQ18">
            <v>9747.7428299999992</v>
          </cell>
          <cell r="AV18">
            <v>9293.1975899999998</v>
          </cell>
          <cell r="AW18">
            <v>0</v>
          </cell>
          <cell r="AX18">
            <v>9293.1975899999998</v>
          </cell>
          <cell r="BC18">
            <v>9293.1975899999998</v>
          </cell>
          <cell r="BD18">
            <v>0</v>
          </cell>
          <cell r="BE18">
            <v>9293.1975899999998</v>
          </cell>
          <cell r="BM18">
            <v>59691.283100000001</v>
          </cell>
          <cell r="BN18">
            <v>50861.3802</v>
          </cell>
          <cell r="BO18">
            <v>8829.902900000001</v>
          </cell>
          <cell r="BT18">
            <v>3923.511</v>
          </cell>
          <cell r="BU18">
            <v>0</v>
          </cell>
          <cell r="BV18">
            <v>3923.511</v>
          </cell>
          <cell r="CD18">
            <v>0</v>
          </cell>
          <cell r="CE18">
            <v>0</v>
          </cell>
          <cell r="CF18">
            <v>0</v>
          </cell>
          <cell r="CK18">
            <v>0</v>
          </cell>
          <cell r="CL18">
            <v>0</v>
          </cell>
          <cell r="CM18">
            <v>0</v>
          </cell>
        </row>
        <row r="19">
          <cell r="F19">
            <v>172307.98379999999</v>
          </cell>
          <cell r="G19">
            <v>25940.41747</v>
          </cell>
          <cell r="H19">
            <v>146367.56632999997</v>
          </cell>
          <cell r="M19">
            <v>42786.137740000013</v>
          </cell>
          <cell r="N19">
            <v>925.70406000000003</v>
          </cell>
          <cell r="O19">
            <v>41860.433680000009</v>
          </cell>
          <cell r="T19">
            <v>61428.840929999998</v>
          </cell>
          <cell r="U19">
            <v>8917.4936500000003</v>
          </cell>
          <cell r="V19">
            <v>52511.347280000002</v>
          </cell>
          <cell r="AA19">
            <v>16970.570920000002</v>
          </cell>
          <cell r="AB19">
            <v>925.70406000000003</v>
          </cell>
          <cell r="AC19">
            <v>16044.866860000002</v>
          </cell>
          <cell r="AH19">
            <v>110879.14287000001</v>
          </cell>
          <cell r="AI19">
            <v>17022.92382</v>
          </cell>
          <cell r="AJ19">
            <v>93856.21905</v>
          </cell>
          <cell r="AO19">
            <v>25815.56682</v>
          </cell>
          <cell r="AP19">
            <v>0</v>
          </cell>
          <cell r="AQ19">
            <v>25815.56682</v>
          </cell>
          <cell r="AV19">
            <v>0</v>
          </cell>
          <cell r="AW19">
            <v>0</v>
          </cell>
          <cell r="AX19">
            <v>0</v>
          </cell>
          <cell r="BC19">
            <v>0</v>
          </cell>
          <cell r="BD19">
            <v>0</v>
          </cell>
          <cell r="BE19">
            <v>0</v>
          </cell>
          <cell r="BM19">
            <v>166830.38713999998</v>
          </cell>
          <cell r="BN19">
            <v>25940.41747</v>
          </cell>
          <cell r="BO19">
            <v>140889.96966999999</v>
          </cell>
          <cell r="BT19">
            <v>37308.511079999997</v>
          </cell>
          <cell r="BU19">
            <v>925.70406000000003</v>
          </cell>
          <cell r="BV19">
            <v>36382.807019999993</v>
          </cell>
          <cell r="CD19">
            <v>5477.5966600000002</v>
          </cell>
          <cell r="CE19">
            <v>0</v>
          </cell>
          <cell r="CF19">
            <v>5477.5966600000002</v>
          </cell>
          <cell r="CK19">
            <v>5477.5966600000002</v>
          </cell>
          <cell r="CL19">
            <v>0</v>
          </cell>
          <cell r="CM19">
            <v>5477.5966600000002</v>
          </cell>
        </row>
        <row r="20">
          <cell r="F20">
            <v>0</v>
          </cell>
          <cell r="G20">
            <v>0</v>
          </cell>
          <cell r="H20">
            <v>0</v>
          </cell>
          <cell r="M20">
            <v>0</v>
          </cell>
          <cell r="N20">
            <v>0</v>
          </cell>
          <cell r="O20">
            <v>0</v>
          </cell>
          <cell r="T20">
            <v>0</v>
          </cell>
          <cell r="U20">
            <v>0</v>
          </cell>
          <cell r="V20">
            <v>0</v>
          </cell>
          <cell r="AA20">
            <v>0</v>
          </cell>
          <cell r="AB20">
            <v>0</v>
          </cell>
          <cell r="AC20">
            <v>0</v>
          </cell>
          <cell r="AH20">
            <v>0</v>
          </cell>
          <cell r="AI20">
            <v>0</v>
          </cell>
          <cell r="AJ20">
            <v>0</v>
          </cell>
          <cell r="AO20">
            <v>0</v>
          </cell>
          <cell r="AP20">
            <v>0</v>
          </cell>
          <cell r="AQ20">
            <v>0</v>
          </cell>
          <cell r="AV20">
            <v>0</v>
          </cell>
          <cell r="AW20">
            <v>0</v>
          </cell>
          <cell r="AX20">
            <v>0</v>
          </cell>
          <cell r="BC20">
            <v>0</v>
          </cell>
          <cell r="BD20">
            <v>0</v>
          </cell>
          <cell r="BE20">
            <v>0</v>
          </cell>
          <cell r="BM20">
            <v>0</v>
          </cell>
          <cell r="BN20">
            <v>0</v>
          </cell>
          <cell r="BO20">
            <v>0</v>
          </cell>
          <cell r="BT20">
            <v>0</v>
          </cell>
          <cell r="BU20">
            <v>0</v>
          </cell>
          <cell r="BV20">
            <v>0</v>
          </cell>
          <cell r="CD20">
            <v>0</v>
          </cell>
          <cell r="CE20">
            <v>0</v>
          </cell>
          <cell r="CF20">
            <v>0</v>
          </cell>
          <cell r="CK20">
            <v>0</v>
          </cell>
          <cell r="CL20">
            <v>0</v>
          </cell>
          <cell r="CM20">
            <v>0</v>
          </cell>
        </row>
        <row r="21">
          <cell r="F21">
            <v>115207.768</v>
          </cell>
          <cell r="G21">
            <v>7191.2820000000002</v>
          </cell>
          <cell r="H21">
            <v>108016.486</v>
          </cell>
          <cell r="M21">
            <v>4190.8326999999999</v>
          </cell>
          <cell r="N21">
            <v>0</v>
          </cell>
          <cell r="O21">
            <v>4190.8326999999999</v>
          </cell>
          <cell r="T21">
            <v>83474.405610000002</v>
          </cell>
          <cell r="U21">
            <v>5555.9844800000001</v>
          </cell>
          <cell r="V21">
            <v>77918.421130000002</v>
          </cell>
          <cell r="AA21">
            <v>917.09225000000004</v>
          </cell>
          <cell r="AB21">
            <v>0</v>
          </cell>
          <cell r="AC21">
            <v>917.09225000000004</v>
          </cell>
          <cell r="AH21">
            <v>31733.362390000002</v>
          </cell>
          <cell r="AI21">
            <v>1635.2975200000001</v>
          </cell>
          <cell r="AJ21">
            <v>30098.064870000002</v>
          </cell>
          <cell r="AO21">
            <v>3273.7404500000002</v>
          </cell>
          <cell r="AP21">
            <v>0</v>
          </cell>
          <cell r="AQ21">
            <v>3273.7404500000002</v>
          </cell>
          <cell r="AV21">
            <v>2454</v>
          </cell>
          <cell r="AW21">
            <v>0</v>
          </cell>
          <cell r="AX21">
            <v>2454</v>
          </cell>
          <cell r="BC21">
            <v>2453.9127000000003</v>
          </cell>
          <cell r="BD21">
            <v>0</v>
          </cell>
          <cell r="BE21">
            <v>2453.9127000000003</v>
          </cell>
          <cell r="BM21">
            <v>112753.768</v>
          </cell>
          <cell r="BN21">
            <v>7191.2820000000002</v>
          </cell>
          <cell r="BO21">
            <v>105562.486</v>
          </cell>
          <cell r="BT21">
            <v>1736.92</v>
          </cell>
          <cell r="BU21">
            <v>0</v>
          </cell>
          <cell r="BV21">
            <v>1736.92</v>
          </cell>
          <cell r="CD21">
            <v>0</v>
          </cell>
          <cell r="CE21">
            <v>0</v>
          </cell>
          <cell r="CF21">
            <v>0</v>
          </cell>
          <cell r="CK21">
            <v>0</v>
          </cell>
          <cell r="CL21">
            <v>0</v>
          </cell>
          <cell r="CM21">
            <v>0</v>
          </cell>
        </row>
        <row r="22">
          <cell r="F22">
            <v>4495.8379800000002</v>
          </cell>
          <cell r="G22">
            <v>0</v>
          </cell>
          <cell r="H22">
            <v>4495.8379800000002</v>
          </cell>
          <cell r="M22">
            <v>2182.53298</v>
          </cell>
          <cell r="N22">
            <v>0</v>
          </cell>
          <cell r="O22">
            <v>2182.53298</v>
          </cell>
          <cell r="T22">
            <v>2067.0728799999997</v>
          </cell>
          <cell r="U22">
            <v>0</v>
          </cell>
          <cell r="V22">
            <v>2067.0728799999997</v>
          </cell>
          <cell r="AA22">
            <v>279.81344000000001</v>
          </cell>
          <cell r="AB22">
            <v>0</v>
          </cell>
          <cell r="AC22">
            <v>279.81344000000001</v>
          </cell>
          <cell r="AH22">
            <v>2428.7651000000001</v>
          </cell>
          <cell r="AI22">
            <v>0</v>
          </cell>
          <cell r="AJ22">
            <v>2428.7651000000001</v>
          </cell>
          <cell r="AO22">
            <v>1902.7195400000001</v>
          </cell>
          <cell r="AP22">
            <v>0</v>
          </cell>
          <cell r="AQ22">
            <v>1902.7195400000001</v>
          </cell>
          <cell r="AV22">
            <v>2182.53298</v>
          </cell>
          <cell r="AW22">
            <v>0</v>
          </cell>
          <cell r="AX22">
            <v>2182.53298</v>
          </cell>
          <cell r="BC22">
            <v>2182.53298</v>
          </cell>
          <cell r="BD22">
            <v>0</v>
          </cell>
          <cell r="BE22">
            <v>2182.53298</v>
          </cell>
          <cell r="BM22">
            <v>0</v>
          </cell>
          <cell r="BN22">
            <v>0</v>
          </cell>
          <cell r="BO22">
            <v>0</v>
          </cell>
          <cell r="BT22">
            <v>0</v>
          </cell>
          <cell r="BU22">
            <v>0</v>
          </cell>
          <cell r="BV22">
            <v>0</v>
          </cell>
          <cell r="CD22">
            <v>2313.3049999999998</v>
          </cell>
          <cell r="CE22">
            <v>0</v>
          </cell>
          <cell r="CF22">
            <v>2313.3049999999998</v>
          </cell>
          <cell r="CK22">
            <v>0</v>
          </cell>
          <cell r="CL22">
            <v>0</v>
          </cell>
          <cell r="CM22">
            <v>0</v>
          </cell>
        </row>
        <row r="23">
          <cell r="F23">
            <v>21972.779289999999</v>
          </cell>
          <cell r="G23">
            <v>0</v>
          </cell>
          <cell r="H23">
            <v>21972.779289999999</v>
          </cell>
          <cell r="M23">
            <v>20028.20937</v>
          </cell>
          <cell r="N23">
            <v>0</v>
          </cell>
          <cell r="O23">
            <v>20028.20937</v>
          </cell>
          <cell r="T23">
            <v>7667.47847</v>
          </cell>
          <cell r="U23">
            <v>0</v>
          </cell>
          <cell r="V23">
            <v>7667.47847</v>
          </cell>
          <cell r="AA23">
            <v>7450.5115599999999</v>
          </cell>
          <cell r="AB23">
            <v>0</v>
          </cell>
          <cell r="AC23">
            <v>7450.5115599999999</v>
          </cell>
          <cell r="AH23">
            <v>14305.30082</v>
          </cell>
          <cell r="AI23">
            <v>0</v>
          </cell>
          <cell r="AJ23">
            <v>14305.30082</v>
          </cell>
          <cell r="AO23">
            <v>12577.69781</v>
          </cell>
          <cell r="AP23">
            <v>0</v>
          </cell>
          <cell r="AQ23">
            <v>12577.69781</v>
          </cell>
          <cell r="AV23">
            <v>0</v>
          </cell>
          <cell r="AW23">
            <v>0</v>
          </cell>
          <cell r="AX23">
            <v>0</v>
          </cell>
          <cell r="BC23">
            <v>0</v>
          </cell>
          <cell r="BD23">
            <v>0</v>
          </cell>
          <cell r="BE23">
            <v>0</v>
          </cell>
          <cell r="BM23">
            <v>0</v>
          </cell>
          <cell r="BN23">
            <v>0</v>
          </cell>
          <cell r="BO23">
            <v>0</v>
          </cell>
          <cell r="BT23">
            <v>0</v>
          </cell>
          <cell r="BU23">
            <v>0</v>
          </cell>
          <cell r="BV23">
            <v>0</v>
          </cell>
          <cell r="CD23">
            <v>21972.779289999999</v>
          </cell>
          <cell r="CE23">
            <v>0</v>
          </cell>
          <cell r="CF23">
            <v>21972.779289999999</v>
          </cell>
          <cell r="CK23">
            <v>20028.20937</v>
          </cell>
          <cell r="CL23">
            <v>0</v>
          </cell>
          <cell r="CM23">
            <v>20028.20937</v>
          </cell>
        </row>
        <row r="24">
          <cell r="F24">
            <v>171216.49183000001</v>
          </cell>
          <cell r="G24">
            <v>0</v>
          </cell>
          <cell r="H24">
            <v>171216.49183000001</v>
          </cell>
          <cell r="M24">
            <v>43877.322999999997</v>
          </cell>
          <cell r="N24">
            <v>0</v>
          </cell>
          <cell r="O24">
            <v>43877.322999999997</v>
          </cell>
          <cell r="T24">
            <v>89742.427689999997</v>
          </cell>
          <cell r="U24">
            <v>0</v>
          </cell>
          <cell r="V24">
            <v>89742.427689999997</v>
          </cell>
          <cell r="AA24">
            <v>20055.006430000001</v>
          </cell>
          <cell r="AB24">
            <v>0</v>
          </cell>
          <cell r="AC24">
            <v>20055.006430000001</v>
          </cell>
          <cell r="AH24">
            <v>81474.064140000002</v>
          </cell>
          <cell r="AI24">
            <v>0</v>
          </cell>
          <cell r="AJ24">
            <v>81474.064140000002</v>
          </cell>
          <cell r="AO24">
            <v>23822.316569999999</v>
          </cell>
          <cell r="AP24">
            <v>0</v>
          </cell>
          <cell r="AQ24">
            <v>23822.316569999999</v>
          </cell>
          <cell r="AV24">
            <v>0</v>
          </cell>
          <cell r="AW24">
            <v>0</v>
          </cell>
          <cell r="AX24">
            <v>0</v>
          </cell>
          <cell r="BC24">
            <v>0</v>
          </cell>
          <cell r="BD24">
            <v>0</v>
          </cell>
          <cell r="BE24">
            <v>0</v>
          </cell>
          <cell r="BM24">
            <v>171216.49182999998</v>
          </cell>
          <cell r="BN24">
            <v>0</v>
          </cell>
          <cell r="BO24">
            <v>171216.49182999998</v>
          </cell>
          <cell r="BT24">
            <v>43877.322999999997</v>
          </cell>
          <cell r="BU24">
            <v>0</v>
          </cell>
          <cell r="BV24">
            <v>43877.322999999997</v>
          </cell>
          <cell r="CD24">
            <v>0</v>
          </cell>
          <cell r="CE24">
            <v>0</v>
          </cell>
          <cell r="CF24">
            <v>0</v>
          </cell>
          <cell r="CK24">
            <v>0</v>
          </cell>
          <cell r="CL24">
            <v>0</v>
          </cell>
          <cell r="CM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M25">
            <v>0</v>
          </cell>
          <cell r="N25">
            <v>0</v>
          </cell>
          <cell r="O25">
            <v>0</v>
          </cell>
          <cell r="T25">
            <v>0</v>
          </cell>
          <cell r="U25">
            <v>0</v>
          </cell>
          <cell r="V25">
            <v>0</v>
          </cell>
          <cell r="AA25">
            <v>0</v>
          </cell>
          <cell r="AB25">
            <v>0</v>
          </cell>
          <cell r="AC25">
            <v>0</v>
          </cell>
          <cell r="AH25">
            <v>0</v>
          </cell>
          <cell r="AI25">
            <v>0</v>
          </cell>
          <cell r="AJ25">
            <v>0</v>
          </cell>
          <cell r="AO25">
            <v>0</v>
          </cell>
          <cell r="AP25">
            <v>0</v>
          </cell>
          <cell r="AQ25">
            <v>0</v>
          </cell>
          <cell r="AV25">
            <v>0</v>
          </cell>
          <cell r="AW25">
            <v>0</v>
          </cell>
          <cell r="AX25">
            <v>0</v>
          </cell>
          <cell r="BC25">
            <v>0</v>
          </cell>
          <cell r="BD25">
            <v>0</v>
          </cell>
          <cell r="BE25">
            <v>0</v>
          </cell>
          <cell r="BM25">
            <v>0</v>
          </cell>
          <cell r="BN25">
            <v>0</v>
          </cell>
          <cell r="BO25">
            <v>0</v>
          </cell>
          <cell r="BT25">
            <v>0</v>
          </cell>
          <cell r="BU25">
            <v>0</v>
          </cell>
          <cell r="BV25">
            <v>0</v>
          </cell>
          <cell r="CD25">
            <v>0</v>
          </cell>
          <cell r="CE25">
            <v>0</v>
          </cell>
          <cell r="CF25">
            <v>0</v>
          </cell>
          <cell r="CK25">
            <v>0</v>
          </cell>
          <cell r="CL25">
            <v>0</v>
          </cell>
          <cell r="CM25">
            <v>0</v>
          </cell>
        </row>
        <row r="26">
          <cell r="F26">
            <v>422.8</v>
          </cell>
          <cell r="G26">
            <v>422.8</v>
          </cell>
          <cell r="H26">
            <v>0</v>
          </cell>
          <cell r="M26">
            <v>271.99090999999999</v>
          </cell>
          <cell r="N26">
            <v>271.99090999999999</v>
          </cell>
          <cell r="O26">
            <v>0</v>
          </cell>
          <cell r="T26">
            <v>0</v>
          </cell>
          <cell r="U26">
            <v>0</v>
          </cell>
          <cell r="V26">
            <v>0</v>
          </cell>
          <cell r="AA26">
            <v>0</v>
          </cell>
          <cell r="AB26">
            <v>0</v>
          </cell>
          <cell r="AC26">
            <v>0</v>
          </cell>
          <cell r="AH26">
            <v>422.8</v>
          </cell>
          <cell r="AI26">
            <v>422.8</v>
          </cell>
          <cell r="AJ26">
            <v>0</v>
          </cell>
          <cell r="AO26">
            <v>271.99090999999999</v>
          </cell>
          <cell r="AP26">
            <v>271.99090999999999</v>
          </cell>
          <cell r="AQ26">
            <v>0</v>
          </cell>
          <cell r="AV26">
            <v>150.80000000000001</v>
          </cell>
          <cell r="AW26">
            <v>150.80000000000001</v>
          </cell>
          <cell r="AX26">
            <v>0</v>
          </cell>
          <cell r="BC26">
            <v>0</v>
          </cell>
          <cell r="BD26">
            <v>0</v>
          </cell>
          <cell r="BE26">
            <v>0</v>
          </cell>
          <cell r="BM26">
            <v>0</v>
          </cell>
          <cell r="BN26">
            <v>0</v>
          </cell>
          <cell r="BO26">
            <v>0</v>
          </cell>
          <cell r="BT26">
            <v>0</v>
          </cell>
          <cell r="BU26">
            <v>0</v>
          </cell>
          <cell r="BV26">
            <v>0</v>
          </cell>
          <cell r="CD26">
            <v>272</v>
          </cell>
          <cell r="CE26">
            <v>272</v>
          </cell>
          <cell r="CF26">
            <v>0</v>
          </cell>
          <cell r="CK26">
            <v>271.99090999999999</v>
          </cell>
          <cell r="CL26">
            <v>271.99090999999999</v>
          </cell>
          <cell r="CM26">
            <v>0</v>
          </cell>
        </row>
        <row r="27">
          <cell r="F27">
            <v>483723.81116000004</v>
          </cell>
          <cell r="G27">
            <v>483723.81116000004</v>
          </cell>
          <cell r="H27">
            <v>0</v>
          </cell>
          <cell r="M27">
            <v>184146.80071000001</v>
          </cell>
          <cell r="N27">
            <v>184146.80071000001</v>
          </cell>
          <cell r="O27">
            <v>0</v>
          </cell>
          <cell r="T27">
            <v>246702.69394999999</v>
          </cell>
          <cell r="U27">
            <v>246702.69394999999</v>
          </cell>
          <cell r="V27">
            <v>0</v>
          </cell>
          <cell r="AA27">
            <v>76671.522599999997</v>
          </cell>
          <cell r="AB27">
            <v>76671.522599999997</v>
          </cell>
          <cell r="AC27">
            <v>0</v>
          </cell>
          <cell r="AH27">
            <v>237021.11721</v>
          </cell>
          <cell r="AI27">
            <v>237021.11721</v>
          </cell>
          <cell r="AJ27">
            <v>0</v>
          </cell>
          <cell r="AO27">
            <v>107475.27811</v>
          </cell>
          <cell r="AP27">
            <v>107475.27811</v>
          </cell>
          <cell r="AQ27">
            <v>0</v>
          </cell>
          <cell r="AV27">
            <v>0</v>
          </cell>
          <cell r="AW27">
            <v>0</v>
          </cell>
          <cell r="AX27">
            <v>0</v>
          </cell>
          <cell r="BC27">
            <v>0</v>
          </cell>
          <cell r="BD27">
            <v>0</v>
          </cell>
          <cell r="BE27">
            <v>0</v>
          </cell>
          <cell r="BM27">
            <v>483723.81115999998</v>
          </cell>
          <cell r="BN27">
            <v>483723.81115999998</v>
          </cell>
          <cell r="BO27">
            <v>0</v>
          </cell>
          <cell r="BT27">
            <v>184146.80070999998</v>
          </cell>
          <cell r="BU27">
            <v>184146.80070999998</v>
          </cell>
          <cell r="BV27">
            <v>0</v>
          </cell>
          <cell r="CD27">
            <v>0</v>
          </cell>
          <cell r="CE27">
            <v>0</v>
          </cell>
          <cell r="CF27">
            <v>0</v>
          </cell>
          <cell r="CK27">
            <v>0</v>
          </cell>
          <cell r="CL27">
            <v>0</v>
          </cell>
          <cell r="CM27">
            <v>0</v>
          </cell>
        </row>
        <row r="28">
          <cell r="F28">
            <v>413</v>
          </cell>
          <cell r="G28">
            <v>413</v>
          </cell>
          <cell r="H28">
            <v>0</v>
          </cell>
          <cell r="M28">
            <v>138.74350000000001</v>
          </cell>
          <cell r="N28">
            <v>138.74350000000001</v>
          </cell>
          <cell r="O28">
            <v>0</v>
          </cell>
          <cell r="T28">
            <v>413</v>
          </cell>
          <cell r="U28">
            <v>413</v>
          </cell>
          <cell r="V28">
            <v>0</v>
          </cell>
          <cell r="AA28">
            <v>138.74350000000001</v>
          </cell>
          <cell r="AB28">
            <v>138.74350000000001</v>
          </cell>
          <cell r="AC28">
            <v>0</v>
          </cell>
          <cell r="AH28">
            <v>0</v>
          </cell>
          <cell r="AI28">
            <v>0</v>
          </cell>
          <cell r="AJ28">
            <v>0</v>
          </cell>
          <cell r="AO28">
            <v>0</v>
          </cell>
          <cell r="AP28">
            <v>0</v>
          </cell>
          <cell r="AQ28">
            <v>0</v>
          </cell>
          <cell r="AV28">
            <v>0</v>
          </cell>
          <cell r="AW28">
            <v>0</v>
          </cell>
          <cell r="AX28">
            <v>0</v>
          </cell>
          <cell r="BC28">
            <v>0</v>
          </cell>
          <cell r="BD28">
            <v>0</v>
          </cell>
          <cell r="BE28">
            <v>0</v>
          </cell>
          <cell r="BM28">
            <v>0</v>
          </cell>
          <cell r="BN28">
            <v>0</v>
          </cell>
          <cell r="BO28">
            <v>0</v>
          </cell>
          <cell r="BT28">
            <v>0</v>
          </cell>
          <cell r="BU28">
            <v>0</v>
          </cell>
          <cell r="BV28">
            <v>0</v>
          </cell>
          <cell r="CD28">
            <v>413</v>
          </cell>
          <cell r="CE28">
            <v>413</v>
          </cell>
          <cell r="CF28">
            <v>0</v>
          </cell>
          <cell r="CK28">
            <v>138.74350000000001</v>
          </cell>
          <cell r="CL28">
            <v>138.74350000000001</v>
          </cell>
          <cell r="CM28">
            <v>0</v>
          </cell>
        </row>
        <row r="29">
          <cell r="F29">
            <v>6914</v>
          </cell>
          <cell r="G29">
            <v>6914</v>
          </cell>
          <cell r="H29">
            <v>0</v>
          </cell>
          <cell r="M29">
            <v>5581.4084999999995</v>
          </cell>
          <cell r="N29">
            <v>5581.4084999999995</v>
          </cell>
          <cell r="O29">
            <v>0</v>
          </cell>
          <cell r="T29">
            <v>0</v>
          </cell>
          <cell r="U29">
            <v>0</v>
          </cell>
          <cell r="V29">
            <v>0</v>
          </cell>
          <cell r="AA29">
            <v>0</v>
          </cell>
          <cell r="AB29">
            <v>0</v>
          </cell>
          <cell r="AC29">
            <v>0</v>
          </cell>
          <cell r="AH29">
            <v>6914</v>
          </cell>
          <cell r="AI29">
            <v>6914</v>
          </cell>
          <cell r="AJ29">
            <v>0</v>
          </cell>
          <cell r="AO29">
            <v>5581.4084999999995</v>
          </cell>
          <cell r="AP29">
            <v>5581.4084999999995</v>
          </cell>
          <cell r="AQ29">
            <v>0</v>
          </cell>
          <cell r="AV29">
            <v>0</v>
          </cell>
          <cell r="AW29">
            <v>0</v>
          </cell>
          <cell r="AX29">
            <v>0</v>
          </cell>
          <cell r="BC29">
            <v>0</v>
          </cell>
          <cell r="BD29">
            <v>0</v>
          </cell>
          <cell r="BE29">
            <v>0</v>
          </cell>
          <cell r="BM29">
            <v>6914</v>
          </cell>
          <cell r="BN29">
            <v>6914</v>
          </cell>
          <cell r="BO29">
            <v>0</v>
          </cell>
          <cell r="BT29">
            <v>5581.4084999999995</v>
          </cell>
          <cell r="BU29">
            <v>5581.4084999999995</v>
          </cell>
          <cell r="BV29">
            <v>0</v>
          </cell>
          <cell r="CD29">
            <v>0</v>
          </cell>
          <cell r="CE29">
            <v>0</v>
          </cell>
          <cell r="CF29">
            <v>0</v>
          </cell>
          <cell r="CK29">
            <v>0</v>
          </cell>
          <cell r="CL29">
            <v>0</v>
          </cell>
          <cell r="CM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M30">
            <v>0</v>
          </cell>
          <cell r="N30">
            <v>0</v>
          </cell>
          <cell r="O30">
            <v>0</v>
          </cell>
          <cell r="T30">
            <v>0</v>
          </cell>
          <cell r="U30">
            <v>0</v>
          </cell>
          <cell r="V30">
            <v>0</v>
          </cell>
          <cell r="AA30">
            <v>0</v>
          </cell>
          <cell r="AB30">
            <v>0</v>
          </cell>
          <cell r="AC30">
            <v>0</v>
          </cell>
          <cell r="AH30">
            <v>0</v>
          </cell>
          <cell r="AI30">
            <v>0</v>
          </cell>
          <cell r="AJ30">
            <v>0</v>
          </cell>
          <cell r="AO30">
            <v>0</v>
          </cell>
          <cell r="AP30">
            <v>0</v>
          </cell>
          <cell r="AQ30">
            <v>0</v>
          </cell>
          <cell r="AV30">
            <v>0</v>
          </cell>
          <cell r="AW30">
            <v>0</v>
          </cell>
          <cell r="AX30">
            <v>0</v>
          </cell>
          <cell r="BC30">
            <v>0</v>
          </cell>
          <cell r="BD30">
            <v>0</v>
          </cell>
          <cell r="BE30">
            <v>0</v>
          </cell>
          <cell r="BM30">
            <v>0</v>
          </cell>
          <cell r="BN30">
            <v>0</v>
          </cell>
          <cell r="BO30">
            <v>0</v>
          </cell>
          <cell r="BT30">
            <v>0</v>
          </cell>
          <cell r="BU30">
            <v>0</v>
          </cell>
          <cell r="BV30">
            <v>0</v>
          </cell>
          <cell r="CD30">
            <v>0</v>
          </cell>
          <cell r="CE30">
            <v>0</v>
          </cell>
          <cell r="CF30">
            <v>0</v>
          </cell>
          <cell r="CK30">
            <v>0</v>
          </cell>
          <cell r="CL30">
            <v>0</v>
          </cell>
          <cell r="CM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M31">
            <v>0</v>
          </cell>
          <cell r="N31">
            <v>0</v>
          </cell>
          <cell r="O31">
            <v>0</v>
          </cell>
          <cell r="T31">
            <v>0</v>
          </cell>
          <cell r="U31">
            <v>0</v>
          </cell>
          <cell r="V31">
            <v>0</v>
          </cell>
          <cell r="AA31">
            <v>0</v>
          </cell>
          <cell r="AB31">
            <v>0</v>
          </cell>
          <cell r="AC31">
            <v>0</v>
          </cell>
          <cell r="AH31">
            <v>0</v>
          </cell>
          <cell r="AI31">
            <v>0</v>
          </cell>
          <cell r="AJ31">
            <v>0</v>
          </cell>
          <cell r="AO31">
            <v>0</v>
          </cell>
          <cell r="AP31">
            <v>0</v>
          </cell>
          <cell r="AQ31">
            <v>0</v>
          </cell>
          <cell r="AV31">
            <v>0</v>
          </cell>
          <cell r="AW31">
            <v>0</v>
          </cell>
          <cell r="AX31">
            <v>0</v>
          </cell>
          <cell r="BC31">
            <v>0</v>
          </cell>
          <cell r="BD31">
            <v>0</v>
          </cell>
          <cell r="BE31">
            <v>0</v>
          </cell>
          <cell r="BM31">
            <v>0</v>
          </cell>
          <cell r="BN31">
            <v>0</v>
          </cell>
          <cell r="BO31">
            <v>0</v>
          </cell>
          <cell r="BT31">
            <v>0</v>
          </cell>
          <cell r="BU31">
            <v>0</v>
          </cell>
          <cell r="BV31">
            <v>0</v>
          </cell>
          <cell r="CD31">
            <v>0</v>
          </cell>
          <cell r="CE31">
            <v>0</v>
          </cell>
          <cell r="CF31">
            <v>0</v>
          </cell>
          <cell r="CK31">
            <v>0</v>
          </cell>
          <cell r="CL31">
            <v>0</v>
          </cell>
          <cell r="CM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AA32">
            <v>0</v>
          </cell>
          <cell r="AB32">
            <v>0</v>
          </cell>
          <cell r="AC32">
            <v>0</v>
          </cell>
          <cell r="AH32">
            <v>0</v>
          </cell>
          <cell r="AI32">
            <v>0</v>
          </cell>
          <cell r="AJ32">
            <v>0</v>
          </cell>
          <cell r="AO32">
            <v>0</v>
          </cell>
          <cell r="AP32">
            <v>0</v>
          </cell>
          <cell r="AQ32">
            <v>0</v>
          </cell>
          <cell r="AV32">
            <v>0</v>
          </cell>
          <cell r="AW32">
            <v>0</v>
          </cell>
          <cell r="AX32">
            <v>0</v>
          </cell>
          <cell r="BC32">
            <v>0</v>
          </cell>
          <cell r="BD32">
            <v>0</v>
          </cell>
          <cell r="BE32">
            <v>0</v>
          </cell>
          <cell r="BM32">
            <v>0</v>
          </cell>
          <cell r="BN32">
            <v>0</v>
          </cell>
          <cell r="BO32">
            <v>0</v>
          </cell>
          <cell r="BT32">
            <v>0</v>
          </cell>
          <cell r="BU32">
            <v>0</v>
          </cell>
          <cell r="BV32">
            <v>0</v>
          </cell>
          <cell r="CD32">
            <v>0</v>
          </cell>
          <cell r="CE32">
            <v>0</v>
          </cell>
          <cell r="CF32">
            <v>0</v>
          </cell>
          <cell r="CK32">
            <v>0</v>
          </cell>
          <cell r="CL32">
            <v>0</v>
          </cell>
          <cell r="CM32">
            <v>0</v>
          </cell>
        </row>
        <row r="33">
          <cell r="F33">
            <v>1402890.9676599998</v>
          </cell>
          <cell r="G33">
            <v>655987.22563</v>
          </cell>
          <cell r="H33">
            <v>746903.74202999985</v>
          </cell>
          <cell r="M33">
            <v>517238.81793999998</v>
          </cell>
          <cell r="N33">
            <v>206107.83678000001</v>
          </cell>
          <cell r="O33">
            <v>311130.98116000002</v>
          </cell>
          <cell r="T33">
            <v>745583.75951999996</v>
          </cell>
          <cell r="U33">
            <v>331892.78356000001</v>
          </cell>
          <cell r="V33">
            <v>413690.97595999989</v>
          </cell>
          <cell r="AA33">
            <v>273439.79805999994</v>
          </cell>
          <cell r="AB33">
            <v>92655.663159999996</v>
          </cell>
          <cell r="AC33">
            <v>180784.1349</v>
          </cell>
          <cell r="AH33">
            <v>657307.20814</v>
          </cell>
          <cell r="AI33">
            <v>324094.44206999999</v>
          </cell>
          <cell r="AJ33">
            <v>333212.76607000001</v>
          </cell>
          <cell r="AO33">
            <v>243799.01987999998</v>
          </cell>
          <cell r="AP33">
            <v>113452.17362</v>
          </cell>
          <cell r="AQ33">
            <v>130346.84626000001</v>
          </cell>
          <cell r="AV33">
            <v>20181.08034</v>
          </cell>
          <cell r="AW33">
            <v>3024.8</v>
          </cell>
          <cell r="AX33">
            <v>17156.280339999998</v>
          </cell>
          <cell r="BC33">
            <v>15476.36743</v>
          </cell>
          <cell r="BD33">
            <v>123.49610000000001</v>
          </cell>
          <cell r="BE33">
            <v>15352.87133</v>
          </cell>
          <cell r="BM33">
            <v>1106017.0874099999</v>
          </cell>
          <cell r="BN33">
            <v>637357.73262999998</v>
          </cell>
          <cell r="BO33">
            <v>468659.35477999994</v>
          </cell>
          <cell r="BT33">
            <v>278621.25228000002</v>
          </cell>
          <cell r="BU33">
            <v>190653.91326999996</v>
          </cell>
          <cell r="BV33">
            <v>87967.339009999996</v>
          </cell>
          <cell r="CD33">
            <v>276692.79940999998</v>
          </cell>
          <cell r="CE33">
            <v>15604.692999999999</v>
          </cell>
          <cell r="CF33">
            <v>261088.10641000001</v>
          </cell>
          <cell r="CK33">
            <v>223141.16822999998</v>
          </cell>
          <cell r="CL33">
            <v>15330.42741</v>
          </cell>
          <cell r="CM33">
            <v>207810.74081999998</v>
          </cell>
        </row>
        <row r="34">
          <cell r="F34">
            <v>1190510.8886900002</v>
          </cell>
          <cell r="M34">
            <v>315833.7096</v>
          </cell>
          <cell r="T34">
            <v>1149353.8886900002</v>
          </cell>
          <cell r="AA34">
            <v>315833.7096</v>
          </cell>
          <cell r="AH34">
            <v>41157</v>
          </cell>
          <cell r="AO34">
            <v>0</v>
          </cell>
          <cell r="AV34">
            <v>52969.988689999998</v>
          </cell>
          <cell r="BC34">
            <v>8612.9886900000001</v>
          </cell>
          <cell r="BM34">
            <v>1137540.8999999999</v>
          </cell>
          <cell r="BT34">
            <v>307220.72091000003</v>
          </cell>
          <cell r="CD34">
            <v>0</v>
          </cell>
          <cell r="CK34">
            <v>0</v>
          </cell>
        </row>
        <row r="35">
          <cell r="F35">
            <v>2593401.85635</v>
          </cell>
          <cell r="H35">
            <v>746903.74202999985</v>
          </cell>
          <cell r="M35">
            <v>833072.52753999992</v>
          </cell>
          <cell r="O35">
            <v>311130.98116000002</v>
          </cell>
          <cell r="T35">
            <v>1894937.6482100002</v>
          </cell>
          <cell r="V35">
            <v>413690.97595999989</v>
          </cell>
          <cell r="AA35">
            <v>589273.50765999989</v>
          </cell>
          <cell r="AC35">
            <v>180784.1349</v>
          </cell>
          <cell r="AH35">
            <v>698464.20814</v>
          </cell>
          <cell r="AJ35">
            <v>333212.76607000001</v>
          </cell>
          <cell r="AO35">
            <v>243799.01987999998</v>
          </cell>
          <cell r="AQ35">
            <v>130346.84626000001</v>
          </cell>
          <cell r="AV35">
            <v>73151.069029999999</v>
          </cell>
          <cell r="AW35">
            <v>3024.8</v>
          </cell>
          <cell r="AX35">
            <v>17156.280339999998</v>
          </cell>
          <cell r="BC35">
            <v>24089.35612</v>
          </cell>
          <cell r="BD35">
            <v>123.49610000000001</v>
          </cell>
          <cell r="BE35">
            <v>15352.87133</v>
          </cell>
          <cell r="BM35">
            <v>2243557.9874099996</v>
          </cell>
          <cell r="BN35">
            <v>637357.73262999998</v>
          </cell>
          <cell r="BO35">
            <v>468659.35477999994</v>
          </cell>
          <cell r="BT35">
            <v>585841.97319000005</v>
          </cell>
          <cell r="BU35">
            <v>190653.91326999996</v>
          </cell>
          <cell r="BV35">
            <v>87967.339009999996</v>
          </cell>
          <cell r="CD35">
            <v>276692.79940999998</v>
          </cell>
          <cell r="CE35">
            <v>15604.692999999999</v>
          </cell>
          <cell r="CF35">
            <v>261088.10641000001</v>
          </cell>
          <cell r="CK35">
            <v>223141.16822999998</v>
          </cell>
          <cell r="CL35">
            <v>15330.42741</v>
          </cell>
          <cell r="CM35">
            <v>207810.74081999998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8"/>
  <sheetViews>
    <sheetView zoomScale="115" zoomScaleNormal="115" workbookViewId="0">
      <pane xSplit="1" ySplit="9" topLeftCell="R10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ColWidth="9.109375" defaultRowHeight="13.2" x14ac:dyDescent="0.3"/>
  <cols>
    <col min="1" max="1" width="46.6640625" style="1" customWidth="1"/>
    <col min="2" max="3" width="12" style="2" hidden="1" customWidth="1"/>
    <col min="4" max="4" width="10.5546875" style="2" hidden="1" customWidth="1"/>
    <col min="5" max="5" width="11.5546875" style="2" hidden="1" customWidth="1"/>
    <col min="6" max="9" width="9.109375" style="2" hidden="1" customWidth="1"/>
    <col min="10" max="10" width="19.88671875" style="2" hidden="1" customWidth="1"/>
    <col min="11" max="11" width="25.5546875" style="2" hidden="1" customWidth="1"/>
    <col min="12" max="12" width="17.77734375" style="2" hidden="1" customWidth="1"/>
    <col min="13" max="13" width="35" style="2" hidden="1" customWidth="1"/>
    <col min="14" max="14" width="10.33203125" style="2" hidden="1" customWidth="1"/>
    <col min="15" max="17" width="9.109375" style="2" hidden="1" customWidth="1"/>
    <col min="18" max="18" width="9.33203125" style="3" customWidth="1"/>
    <col min="19" max="19" width="9.6640625" style="3" bestFit="1" customWidth="1"/>
    <col min="20" max="20" width="9.33203125" style="3" customWidth="1"/>
    <col min="21" max="22" width="8.5546875" style="3" customWidth="1"/>
    <col min="23" max="23" width="8.109375" style="3" customWidth="1"/>
    <col min="24" max="24" width="10.109375" style="3" bestFit="1" customWidth="1"/>
    <col min="25" max="25" width="9.109375" style="3"/>
    <col min="26" max="26" width="9.44140625" style="3" customWidth="1"/>
    <col min="27" max="27" width="8.88671875" style="3" customWidth="1"/>
    <col min="28" max="28" width="8.44140625" style="3" customWidth="1"/>
    <col min="29" max="29" width="8" style="3" customWidth="1"/>
    <col min="30" max="30" width="9.44140625" style="3" customWidth="1"/>
    <col min="31" max="32" width="9.33203125" style="3" customWidth="1"/>
    <col min="33" max="33" width="6.6640625" style="3" customWidth="1"/>
    <col min="34" max="34" width="7" style="3" customWidth="1"/>
    <col min="35" max="35" width="6.88671875" style="3" customWidth="1"/>
    <col min="36" max="36" width="7.109375" style="3" hidden="1" customWidth="1"/>
    <col min="37" max="37" width="15.88671875" style="3" hidden="1" customWidth="1"/>
    <col min="38" max="38" width="16" style="3" hidden="1" customWidth="1"/>
    <col min="39" max="39" width="16.5546875" style="3" bestFit="1" customWidth="1"/>
    <col min="40" max="16384" width="9.109375" style="3"/>
  </cols>
  <sheetData>
    <row r="1" spans="1:38" ht="26.25" customHeight="1" x14ac:dyDescent="0.3">
      <c r="X1" s="4"/>
      <c r="Y1" s="4"/>
      <c r="Z1" s="4"/>
      <c r="AF1" s="375" t="s">
        <v>269</v>
      </c>
      <c r="AG1" s="375"/>
      <c r="AH1" s="375"/>
      <c r="AI1" s="375"/>
    </row>
    <row r="2" spans="1:38" ht="29.25" customHeight="1" x14ac:dyDescent="0.3">
      <c r="A2" s="400" t="s">
        <v>421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5"/>
    </row>
    <row r="3" spans="1:38" ht="13.8" thickBot="1" x14ac:dyDescent="0.35">
      <c r="N3" s="6"/>
      <c r="R3" s="7"/>
      <c r="S3" s="7"/>
      <c r="T3" s="7"/>
      <c r="U3" s="4"/>
      <c r="V3" s="4"/>
      <c r="W3" s="4"/>
      <c r="X3" s="7"/>
      <c r="Y3" s="7"/>
      <c r="Z3" s="7"/>
      <c r="AD3" s="8"/>
      <c r="AE3" s="8"/>
      <c r="AF3" s="8"/>
      <c r="AL3" s="4">
        <f>Z3-T3</f>
        <v>0</v>
      </c>
    </row>
    <row r="4" spans="1:38" s="1" customFormat="1" ht="13.95" customHeight="1" thickTop="1" x14ac:dyDescent="0.3">
      <c r="A4" s="392" t="s">
        <v>0</v>
      </c>
      <c r="B4" s="376" t="s">
        <v>123</v>
      </c>
      <c r="C4" s="377"/>
      <c r="D4" s="377"/>
      <c r="E4" s="377"/>
      <c r="F4" s="377"/>
      <c r="G4" s="377"/>
      <c r="H4" s="377"/>
      <c r="I4" s="378"/>
      <c r="J4" s="376" t="s">
        <v>124</v>
      </c>
      <c r="K4" s="377"/>
      <c r="L4" s="377"/>
      <c r="M4" s="377"/>
      <c r="N4" s="377"/>
      <c r="O4" s="377"/>
      <c r="P4" s="377"/>
      <c r="Q4" s="378"/>
      <c r="R4" s="394" t="s">
        <v>125</v>
      </c>
      <c r="S4" s="394"/>
      <c r="T4" s="394"/>
      <c r="U4" s="394"/>
      <c r="V4" s="394"/>
      <c r="W4" s="394"/>
      <c r="X4" s="394" t="s">
        <v>126</v>
      </c>
      <c r="Y4" s="394"/>
      <c r="Z4" s="394"/>
      <c r="AA4" s="394"/>
      <c r="AB4" s="394"/>
      <c r="AC4" s="394"/>
      <c r="AD4" s="394" t="s">
        <v>1</v>
      </c>
      <c r="AE4" s="394"/>
      <c r="AF4" s="394"/>
      <c r="AG4" s="394"/>
      <c r="AH4" s="394"/>
      <c r="AI4" s="395"/>
      <c r="AJ4" s="9"/>
    </row>
    <row r="5" spans="1:38" s="1" customFormat="1" ht="13.2" customHeight="1" x14ac:dyDescent="0.3">
      <c r="A5" s="393"/>
      <c r="B5" s="387" t="s">
        <v>2</v>
      </c>
      <c r="C5" s="382" t="s">
        <v>3</v>
      </c>
      <c r="D5" s="383"/>
      <c r="E5" s="383"/>
      <c r="F5" s="383"/>
      <c r="G5" s="383"/>
      <c r="H5" s="383"/>
      <c r="I5" s="384"/>
      <c r="J5" s="387" t="s">
        <v>2</v>
      </c>
      <c r="K5" s="382" t="s">
        <v>3</v>
      </c>
      <c r="L5" s="383"/>
      <c r="M5" s="383"/>
      <c r="N5" s="383"/>
      <c r="O5" s="383"/>
      <c r="P5" s="383"/>
      <c r="Q5" s="384"/>
      <c r="R5" s="387" t="s">
        <v>2</v>
      </c>
      <c r="S5" s="396" t="s">
        <v>4</v>
      </c>
      <c r="T5" s="396"/>
      <c r="U5" s="396"/>
      <c r="V5" s="396"/>
      <c r="W5" s="396"/>
      <c r="X5" s="387" t="s">
        <v>2</v>
      </c>
      <c r="Y5" s="396" t="s">
        <v>4</v>
      </c>
      <c r="Z5" s="396"/>
      <c r="AA5" s="396"/>
      <c r="AB5" s="396"/>
      <c r="AC5" s="396"/>
      <c r="AD5" s="385" t="s">
        <v>2</v>
      </c>
      <c r="AE5" s="396" t="s">
        <v>4</v>
      </c>
      <c r="AF5" s="396"/>
      <c r="AG5" s="396"/>
      <c r="AH5" s="396"/>
      <c r="AI5" s="397"/>
      <c r="AJ5" s="9"/>
    </row>
    <row r="6" spans="1:38" s="1" customFormat="1" ht="13.2" customHeight="1" x14ac:dyDescent="0.3">
      <c r="A6" s="393"/>
      <c r="B6" s="387"/>
      <c r="C6" s="398" t="s">
        <v>5</v>
      </c>
      <c r="D6" s="387" t="s">
        <v>6</v>
      </c>
      <c r="E6" s="387" t="s">
        <v>7</v>
      </c>
      <c r="F6" s="379" t="s">
        <v>8</v>
      </c>
      <c r="G6" s="380"/>
      <c r="H6" s="380"/>
      <c r="I6" s="381"/>
      <c r="J6" s="387"/>
      <c r="K6" s="398" t="s">
        <v>5</v>
      </c>
      <c r="L6" s="387" t="s">
        <v>6</v>
      </c>
      <c r="M6" s="387" t="s">
        <v>7</v>
      </c>
      <c r="N6" s="379" t="s">
        <v>8</v>
      </c>
      <c r="O6" s="380"/>
      <c r="P6" s="380"/>
      <c r="Q6" s="381"/>
      <c r="R6" s="387"/>
      <c r="S6" s="387" t="s">
        <v>6</v>
      </c>
      <c r="T6" s="385" t="s">
        <v>7</v>
      </c>
      <c r="U6" s="386" t="s">
        <v>8</v>
      </c>
      <c r="V6" s="386"/>
      <c r="W6" s="386"/>
      <c r="X6" s="387"/>
      <c r="Y6" s="387" t="s">
        <v>6</v>
      </c>
      <c r="Z6" s="385" t="s">
        <v>7</v>
      </c>
      <c r="AA6" s="386" t="s">
        <v>8</v>
      </c>
      <c r="AB6" s="386"/>
      <c r="AC6" s="386"/>
      <c r="AD6" s="385"/>
      <c r="AE6" s="385" t="s">
        <v>6</v>
      </c>
      <c r="AF6" s="385" t="s">
        <v>7</v>
      </c>
      <c r="AG6" s="389" t="s">
        <v>8</v>
      </c>
      <c r="AH6" s="389"/>
      <c r="AI6" s="390"/>
      <c r="AJ6" s="11"/>
    </row>
    <row r="7" spans="1:38" s="1" customFormat="1" ht="52.2" customHeight="1" x14ac:dyDescent="0.3">
      <c r="A7" s="393"/>
      <c r="B7" s="387"/>
      <c r="C7" s="399"/>
      <c r="D7" s="387"/>
      <c r="E7" s="387"/>
      <c r="F7" s="12" t="s">
        <v>9</v>
      </c>
      <c r="G7" s="12" t="s">
        <v>10</v>
      </c>
      <c r="H7" s="12" t="s">
        <v>121</v>
      </c>
      <c r="I7" s="12" t="s">
        <v>122</v>
      </c>
      <c r="J7" s="387"/>
      <c r="K7" s="399"/>
      <c r="L7" s="387"/>
      <c r="M7" s="387"/>
      <c r="N7" s="12" t="s">
        <v>9</v>
      </c>
      <c r="O7" s="12" t="s">
        <v>10</v>
      </c>
      <c r="P7" s="12" t="s">
        <v>121</v>
      </c>
      <c r="Q7" s="12" t="s">
        <v>122</v>
      </c>
      <c r="R7" s="387"/>
      <c r="S7" s="387"/>
      <c r="T7" s="385"/>
      <c r="U7" s="12" t="s">
        <v>9</v>
      </c>
      <c r="V7" s="12" t="s">
        <v>10</v>
      </c>
      <c r="W7" s="12" t="s">
        <v>11</v>
      </c>
      <c r="X7" s="387"/>
      <c r="Y7" s="387"/>
      <c r="Z7" s="385"/>
      <c r="AA7" s="12" t="s">
        <v>9</v>
      </c>
      <c r="AB7" s="12" t="s">
        <v>10</v>
      </c>
      <c r="AC7" s="12" t="s">
        <v>11</v>
      </c>
      <c r="AD7" s="385"/>
      <c r="AE7" s="385"/>
      <c r="AF7" s="385"/>
      <c r="AG7" s="13" t="s">
        <v>9</v>
      </c>
      <c r="AH7" s="13" t="s">
        <v>10</v>
      </c>
      <c r="AI7" s="14" t="s">
        <v>12</v>
      </c>
      <c r="AJ7" s="15"/>
    </row>
    <row r="8" spans="1:38" s="22" customFormat="1" ht="10.199999999999999" x14ac:dyDescent="0.3">
      <c r="A8" s="16" t="s">
        <v>13</v>
      </c>
      <c r="B8" s="17"/>
      <c r="C8" s="17"/>
      <c r="D8" s="18"/>
      <c r="E8" s="17"/>
      <c r="F8" s="19"/>
      <c r="G8" s="19"/>
      <c r="H8" s="19"/>
      <c r="I8" s="19"/>
      <c r="J8" s="17"/>
      <c r="K8" s="17"/>
      <c r="L8" s="17"/>
      <c r="M8" s="17"/>
      <c r="N8" s="19"/>
      <c r="O8" s="19"/>
      <c r="P8" s="19"/>
      <c r="Q8" s="19"/>
      <c r="R8" s="17" t="s">
        <v>14</v>
      </c>
      <c r="S8" s="17" t="s">
        <v>15</v>
      </c>
      <c r="T8" s="17" t="s">
        <v>16</v>
      </c>
      <c r="U8" s="19">
        <v>4</v>
      </c>
      <c r="V8" s="19">
        <v>5</v>
      </c>
      <c r="W8" s="19">
        <v>6</v>
      </c>
      <c r="X8" s="17" t="s">
        <v>17</v>
      </c>
      <c r="Y8" s="17" t="s">
        <v>18</v>
      </c>
      <c r="Z8" s="17" t="s">
        <v>19</v>
      </c>
      <c r="AA8" s="19">
        <v>10</v>
      </c>
      <c r="AB8" s="19">
        <v>11</v>
      </c>
      <c r="AC8" s="19">
        <v>12</v>
      </c>
      <c r="AD8" s="17" t="s">
        <v>20</v>
      </c>
      <c r="AE8" s="17" t="s">
        <v>21</v>
      </c>
      <c r="AF8" s="17" t="s">
        <v>22</v>
      </c>
      <c r="AG8" s="19" t="s">
        <v>23</v>
      </c>
      <c r="AH8" s="19" t="s">
        <v>24</v>
      </c>
      <c r="AI8" s="20" t="s">
        <v>25</v>
      </c>
      <c r="AJ8" s="21"/>
    </row>
    <row r="9" spans="1:38" s="1" customFormat="1" x14ac:dyDescent="0.3">
      <c r="A9" s="23" t="s">
        <v>26</v>
      </c>
      <c r="B9" s="24">
        <f t="shared" ref="B9:D9" si="0">B12+B13+B14+B15+B16+B17+B18+B19+B20+B21+B22+B23+B24+B25+B26-B11+B28</f>
        <v>0</v>
      </c>
      <c r="C9" s="24">
        <f t="shared" si="0"/>
        <v>0</v>
      </c>
      <c r="D9" s="24">
        <f t="shared" si="0"/>
        <v>0</v>
      </c>
      <c r="E9" s="24">
        <f>E12+E13+E14+E15+E16+E17+E18+E19+E20+E21+E22+E23+E24+E25+E26-E11+E28</f>
        <v>-1.9073486328125E-6</v>
      </c>
      <c r="F9" s="24">
        <f t="shared" ref="F9:Q9" si="1">F12+F13+F14+F15+F16+F17+F18+F19+F20+F21+F22+F23+F24+F25+F26-F11+F28</f>
        <v>0</v>
      </c>
      <c r="G9" s="24">
        <f t="shared" si="1"/>
        <v>0</v>
      </c>
      <c r="H9" s="24">
        <f t="shared" si="1"/>
        <v>0</v>
      </c>
      <c r="I9" s="24">
        <f t="shared" si="1"/>
        <v>0</v>
      </c>
      <c r="J9" s="24">
        <f t="shared" si="1"/>
        <v>0</v>
      </c>
      <c r="K9" s="24">
        <f t="shared" si="1"/>
        <v>0</v>
      </c>
      <c r="L9" s="24">
        <f t="shared" si="1"/>
        <v>0</v>
      </c>
      <c r="M9" s="24">
        <f>M12+M13+M14+M15+M16+M17+M18+M19+M20+M21+M22+M23+M24+M25+M26-M11+M28</f>
        <v>1.4495890354737639E-6</v>
      </c>
      <c r="N9" s="24">
        <f t="shared" si="1"/>
        <v>9.5367431640625E-7</v>
      </c>
      <c r="O9" s="24">
        <f t="shared" si="1"/>
        <v>2.384185791015625E-7</v>
      </c>
      <c r="P9" s="24">
        <f t="shared" si="1"/>
        <v>-2.9802322387695313E-8</v>
      </c>
      <c r="Q9" s="24">
        <f t="shared" si="1"/>
        <v>4.1763996705412865E-9</v>
      </c>
      <c r="R9" s="25"/>
      <c r="S9" s="25"/>
      <c r="T9" s="26">
        <f>V109+W109</f>
        <v>1840.0209521899999</v>
      </c>
      <c r="U9" s="27"/>
      <c r="V9" s="27"/>
      <c r="W9" s="27"/>
      <c r="X9" s="27"/>
      <c r="Y9" s="27"/>
      <c r="Z9" s="26">
        <f>AB109+AC109</f>
        <v>638.59663176000004</v>
      </c>
      <c r="AA9" s="25"/>
      <c r="AB9" s="25"/>
      <c r="AC9" s="25"/>
      <c r="AD9" s="25"/>
      <c r="AE9" s="25"/>
      <c r="AF9" s="25"/>
      <c r="AG9" s="25"/>
      <c r="AH9" s="25"/>
      <c r="AI9" s="28"/>
      <c r="AJ9" s="29"/>
    </row>
    <row r="10" spans="1:38" hidden="1" x14ac:dyDescent="0.25">
      <c r="A10" s="30" t="s">
        <v>27</v>
      </c>
      <c r="B10" s="31">
        <v>76810578075.479996</v>
      </c>
      <c r="C10" s="31">
        <v>21694238545.419998</v>
      </c>
      <c r="D10" s="31">
        <v>64863827997.610001</v>
      </c>
      <c r="E10" s="192">
        <f>F10+G10+H10+I10-E109</f>
        <v>31800967671.100002</v>
      </c>
      <c r="F10" s="31">
        <v>18100569312.130001</v>
      </c>
      <c r="G10" s="31">
        <v>13402537418.4</v>
      </c>
      <c r="H10" s="31">
        <v>769459421.28999996</v>
      </c>
      <c r="I10" s="31">
        <v>1368422471.47</v>
      </c>
      <c r="J10" s="31">
        <v>35046007078.519997</v>
      </c>
      <c r="K10" s="31">
        <v>10911846826.719999</v>
      </c>
      <c r="L10" s="31">
        <v>29959450461.23</v>
      </c>
      <c r="M10" s="192">
        <f>N10+O10+P10+Q10-M109</f>
        <v>15359806812.25</v>
      </c>
      <c r="N10" s="32">
        <v>8793698762.6000004</v>
      </c>
      <c r="O10" s="32">
        <v>6786261687.2200003</v>
      </c>
      <c r="P10" s="32">
        <v>82351595.010000005</v>
      </c>
      <c r="Q10" s="32">
        <v>336091399.18000001</v>
      </c>
      <c r="R10" s="33">
        <f t="shared" ref="R10:R37" si="2">B10/1000000</f>
        <v>76810.578075479993</v>
      </c>
      <c r="S10" s="33">
        <f t="shared" ref="S10:S26" si="3">D10/1000000</f>
        <v>64863.827997610002</v>
      </c>
      <c r="T10" s="33">
        <f t="shared" ref="T10:T26" si="4">E10/1000000</f>
        <v>31800.967671100003</v>
      </c>
      <c r="U10" s="33">
        <f t="shared" ref="U10:U26" si="5">F10/1000000</f>
        <v>18100.569312130003</v>
      </c>
      <c r="V10" s="33">
        <f t="shared" ref="V10:V26" si="6">G10/1000000</f>
        <v>13402.537418399999</v>
      </c>
      <c r="W10" s="33">
        <f>(H10+I10)/1000000</f>
        <v>2137.88189276</v>
      </c>
      <c r="X10" s="33">
        <f t="shared" ref="X10:X25" si="7">J10/1000000</f>
        <v>35046.007078519993</v>
      </c>
      <c r="Y10" s="33">
        <f t="shared" ref="Y10:Y37" si="8">L10/1000000</f>
        <v>29959.450461230001</v>
      </c>
      <c r="Z10" s="33">
        <f t="shared" ref="Z10:Z37" si="9">M10/1000000</f>
        <v>15359.806812250001</v>
      </c>
      <c r="AA10" s="33">
        <f t="shared" ref="AA10:AA37" si="10">N10/1000000</f>
        <v>8793.6987626000009</v>
      </c>
      <c r="AB10" s="33">
        <f t="shared" ref="AB10:AB37" si="11">O10/1000000</f>
        <v>6786.2616872200006</v>
      </c>
      <c r="AC10" s="33">
        <f>(P10+Q10)/1000000</f>
        <v>418.44299418999998</v>
      </c>
      <c r="AD10" s="34">
        <f t="shared" ref="AD10:AI11" si="12">X10/R10%</f>
        <v>45.626537329378102</v>
      </c>
      <c r="AE10" s="34">
        <f t="shared" si="12"/>
        <v>46.188224448199236</v>
      </c>
      <c r="AF10" s="33">
        <f t="shared" si="12"/>
        <v>48.299809525005877</v>
      </c>
      <c r="AG10" s="33">
        <f t="shared" si="12"/>
        <v>48.582442966072612</v>
      </c>
      <c r="AH10" s="33">
        <f t="shared" si="12"/>
        <v>50.634155871882264</v>
      </c>
      <c r="AI10" s="35">
        <f t="shared" si="12"/>
        <v>19.572783492253219</v>
      </c>
      <c r="AJ10" s="36"/>
    </row>
    <row r="11" spans="1:38" s="44" customFormat="1" x14ac:dyDescent="0.25">
      <c r="A11" s="37" t="s">
        <v>28</v>
      </c>
      <c r="B11" s="38">
        <v>60279466412.32</v>
      </c>
      <c r="C11" s="38">
        <v>711466.67</v>
      </c>
      <c r="D11" s="38">
        <v>47448049255.739998</v>
      </c>
      <c r="E11" s="39">
        <f>F11+G11+H11+I11</f>
        <v>12832128623.250002</v>
      </c>
      <c r="F11" s="38">
        <v>9413226604.3400002</v>
      </c>
      <c r="G11" s="38">
        <v>2474109704.9299998</v>
      </c>
      <c r="H11" s="38">
        <v>639888672.36000001</v>
      </c>
      <c r="I11" s="38">
        <v>304903641.62</v>
      </c>
      <c r="J11" s="38">
        <v>27238258015.459999</v>
      </c>
      <c r="K11" s="38">
        <v>-110723.83</v>
      </c>
      <c r="L11" s="38">
        <v>21268684768.240002</v>
      </c>
      <c r="M11" s="39">
        <f>N11+O11+P11+Q11</f>
        <v>5969462523.3899984</v>
      </c>
      <c r="N11" s="38">
        <v>4396551371.1899996</v>
      </c>
      <c r="O11" s="38">
        <v>1200571092.8499999</v>
      </c>
      <c r="P11" s="38">
        <v>255311522.56999999</v>
      </c>
      <c r="Q11" s="38">
        <v>117028536.78</v>
      </c>
      <c r="R11" s="40">
        <f t="shared" si="2"/>
        <v>60279.466412319998</v>
      </c>
      <c r="S11" s="40">
        <f t="shared" si="3"/>
        <v>47448.049255739999</v>
      </c>
      <c r="T11" s="40">
        <f t="shared" si="4"/>
        <v>12832.128623250002</v>
      </c>
      <c r="U11" s="40">
        <f t="shared" si="5"/>
        <v>9413.2266043399995</v>
      </c>
      <c r="V11" s="40">
        <f t="shared" si="6"/>
        <v>2474.1097049299997</v>
      </c>
      <c r="W11" s="40">
        <f t="shared" ref="W11:W37" si="13">(H11+I11)/1000000</f>
        <v>944.79231398000002</v>
      </c>
      <c r="X11" s="40">
        <f t="shared" si="7"/>
        <v>27238.25801546</v>
      </c>
      <c r="Y11" s="40">
        <f t="shared" si="8"/>
        <v>21268.68476824</v>
      </c>
      <c r="Z11" s="40">
        <f t="shared" si="9"/>
        <v>5969.4625233899988</v>
      </c>
      <c r="AA11" s="40">
        <f t="shared" si="10"/>
        <v>4396.5513711899994</v>
      </c>
      <c r="AB11" s="40">
        <f t="shared" si="11"/>
        <v>1200.57109285</v>
      </c>
      <c r="AC11" s="40">
        <f t="shared" ref="AC11:AC37" si="14">(P11+Q11)/1000000</f>
        <v>372.34005935000005</v>
      </c>
      <c r="AD11" s="40">
        <f t="shared" si="12"/>
        <v>45.186627614031117</v>
      </c>
      <c r="AE11" s="40">
        <f t="shared" si="12"/>
        <v>44.825203779409399</v>
      </c>
      <c r="AF11" s="40">
        <f t="shared" si="12"/>
        <v>46.51965935389844</v>
      </c>
      <c r="AG11" s="40">
        <f t="shared" si="12"/>
        <v>46.70610361343001</v>
      </c>
      <c r="AH11" s="40">
        <f t="shared" si="12"/>
        <v>48.52537825859941</v>
      </c>
      <c r="AI11" s="41">
        <f t="shared" si="12"/>
        <v>39.409725697438517</v>
      </c>
      <c r="AJ11" s="42">
        <f>X11/X37%</f>
        <v>77.721430445508773</v>
      </c>
      <c r="AK11" s="43">
        <f>X11-Y11-Z11</f>
        <v>0.11072383000100672</v>
      </c>
    </row>
    <row r="12" spans="1:38" x14ac:dyDescent="0.25">
      <c r="A12" s="45" t="s">
        <v>29</v>
      </c>
      <c r="B12" s="31">
        <v>15376248000</v>
      </c>
      <c r="C12" s="31">
        <v>0</v>
      </c>
      <c r="D12" s="31">
        <v>15376248000</v>
      </c>
      <c r="E12" s="46">
        <f>F12+G12+H12+I12</f>
        <v>0</v>
      </c>
      <c r="F12" s="31">
        <v>0</v>
      </c>
      <c r="G12" s="31">
        <v>0</v>
      </c>
      <c r="H12" s="31">
        <v>0</v>
      </c>
      <c r="I12" s="31">
        <v>0</v>
      </c>
      <c r="J12" s="31">
        <v>5926452869.8900003</v>
      </c>
      <c r="K12" s="31">
        <v>0</v>
      </c>
      <c r="L12" s="31">
        <v>5926452869.8900003</v>
      </c>
      <c r="M12" s="46">
        <f>N12+O12+P12+Q12</f>
        <v>0</v>
      </c>
      <c r="N12" s="31">
        <v>0</v>
      </c>
      <c r="O12" s="31">
        <v>0</v>
      </c>
      <c r="P12" s="31">
        <v>0</v>
      </c>
      <c r="Q12" s="31">
        <v>0</v>
      </c>
      <c r="R12" s="33">
        <f t="shared" si="2"/>
        <v>15376.248</v>
      </c>
      <c r="S12" s="33">
        <f t="shared" si="3"/>
        <v>15376.248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13"/>
        <v>0</v>
      </c>
      <c r="X12" s="33">
        <f t="shared" si="7"/>
        <v>5926.4528698900003</v>
      </c>
      <c r="Y12" s="33">
        <f t="shared" si="8"/>
        <v>5926.4528698900003</v>
      </c>
      <c r="Z12" s="33">
        <f t="shared" si="9"/>
        <v>0</v>
      </c>
      <c r="AA12" s="33">
        <f t="shared" si="10"/>
        <v>0</v>
      </c>
      <c r="AB12" s="33">
        <f t="shared" si="11"/>
        <v>0</v>
      </c>
      <c r="AC12" s="33">
        <f t="shared" si="14"/>
        <v>0</v>
      </c>
      <c r="AD12" s="33">
        <f>X12/R12%</f>
        <v>38.542906370201635</v>
      </c>
      <c r="AE12" s="33">
        <f>Y12/S12%</f>
        <v>38.542906370201635</v>
      </c>
      <c r="AF12" s="47" t="s">
        <v>30</v>
      </c>
      <c r="AG12" s="47" t="s">
        <v>30</v>
      </c>
      <c r="AH12" s="47" t="s">
        <v>30</v>
      </c>
      <c r="AI12" s="48" t="s">
        <v>30</v>
      </c>
      <c r="AJ12" s="49">
        <f>Z11/Z37%</f>
        <v>38.864177110802835</v>
      </c>
      <c r="AK12" s="3">
        <f t="shared" ref="AK12:AK36" si="15">X12-Y12-Z12</f>
        <v>0</v>
      </c>
      <c r="AL12" s="4"/>
    </row>
    <row r="13" spans="1:38" x14ac:dyDescent="0.25">
      <c r="A13" s="45" t="s">
        <v>31</v>
      </c>
      <c r="B13" s="31">
        <v>23953449410</v>
      </c>
      <c r="C13" s="31">
        <v>0</v>
      </c>
      <c r="D13" s="31">
        <v>15996747400</v>
      </c>
      <c r="E13" s="46">
        <f t="shared" ref="E13:E28" si="16">F13+G13+H13+I13</f>
        <v>7956702010</v>
      </c>
      <c r="F13" s="31">
        <v>6126917100</v>
      </c>
      <c r="G13" s="31">
        <v>1499663052</v>
      </c>
      <c r="H13" s="31">
        <v>274681055</v>
      </c>
      <c r="I13" s="31">
        <v>55440803</v>
      </c>
      <c r="J13" s="31">
        <v>11158374647.280001</v>
      </c>
      <c r="K13" s="31">
        <v>0</v>
      </c>
      <c r="L13" s="31">
        <v>7460764617.8500004</v>
      </c>
      <c r="M13" s="46">
        <f t="shared" ref="M13:M28" si="17">N13+O13+P13+Q13</f>
        <v>3697610029.4300003</v>
      </c>
      <c r="N13" s="31">
        <v>2803209759.79</v>
      </c>
      <c r="O13" s="31">
        <v>737457463.57000005</v>
      </c>
      <c r="P13" s="31">
        <v>129518731</v>
      </c>
      <c r="Q13" s="31">
        <v>27424075.07</v>
      </c>
      <c r="R13" s="33">
        <f t="shared" si="2"/>
        <v>23953.449410000001</v>
      </c>
      <c r="S13" s="33">
        <f t="shared" si="3"/>
        <v>15996.7474</v>
      </c>
      <c r="T13" s="33">
        <f t="shared" si="4"/>
        <v>7956.70201</v>
      </c>
      <c r="U13" s="33">
        <f t="shared" si="5"/>
        <v>6126.9170999999997</v>
      </c>
      <c r="V13" s="33">
        <f t="shared" si="6"/>
        <v>1499.6630520000001</v>
      </c>
      <c r="W13" s="33">
        <f t="shared" si="13"/>
        <v>330.12185799999997</v>
      </c>
      <c r="X13" s="33">
        <f t="shared" si="7"/>
        <v>11158.374647280001</v>
      </c>
      <c r="Y13" s="33">
        <f t="shared" si="8"/>
        <v>7460.7646178500008</v>
      </c>
      <c r="Z13" s="33">
        <f t="shared" si="9"/>
        <v>3697.6100294300004</v>
      </c>
      <c r="AA13" s="33">
        <f t="shared" si="10"/>
        <v>2803.2097597900001</v>
      </c>
      <c r="AB13" s="33">
        <f t="shared" si="11"/>
        <v>737.45746357000007</v>
      </c>
      <c r="AC13" s="33">
        <f t="shared" si="14"/>
        <v>156.94280606999999</v>
      </c>
      <c r="AD13" s="34">
        <f>X13/R13%</f>
        <v>46.583581580620461</v>
      </c>
      <c r="AE13" s="34">
        <f>Y13/S13%</f>
        <v>46.639260040137913</v>
      </c>
      <c r="AF13" s="34">
        <f t="shared" ref="AF13:AI14" si="18">Z13/T13%</f>
        <v>46.471641451229878</v>
      </c>
      <c r="AG13" s="34">
        <f t="shared" si="18"/>
        <v>45.752369650798769</v>
      </c>
      <c r="AH13" s="34">
        <f t="shared" si="18"/>
        <v>49.174877155671901</v>
      </c>
      <c r="AI13" s="50">
        <f t="shared" si="18"/>
        <v>47.540870822918976</v>
      </c>
      <c r="AJ13" s="49"/>
      <c r="AK13" s="3">
        <f t="shared" si="15"/>
        <v>0</v>
      </c>
    </row>
    <row r="14" spans="1:38" x14ac:dyDescent="0.25">
      <c r="A14" s="45" t="s">
        <v>32</v>
      </c>
      <c r="B14" s="31">
        <v>4043963282</v>
      </c>
      <c r="C14" s="31">
        <v>0</v>
      </c>
      <c r="D14" s="31">
        <v>3732066800</v>
      </c>
      <c r="E14" s="46">
        <f t="shared" si="16"/>
        <v>311896482</v>
      </c>
      <c r="F14" s="31">
        <v>37316400</v>
      </c>
      <c r="G14" s="31">
        <v>227738958</v>
      </c>
      <c r="H14" s="31">
        <v>46841124</v>
      </c>
      <c r="I14" s="31">
        <v>0</v>
      </c>
      <c r="J14" s="31">
        <v>2137561499.54</v>
      </c>
      <c r="K14" s="31">
        <v>0</v>
      </c>
      <c r="L14" s="31">
        <v>1977146600.6400001</v>
      </c>
      <c r="M14" s="46">
        <f t="shared" si="17"/>
        <v>160414898.89999998</v>
      </c>
      <c r="N14" s="31">
        <v>19566607.390000001</v>
      </c>
      <c r="O14" s="31">
        <v>116854553.87</v>
      </c>
      <c r="P14" s="31">
        <v>23993737.640000001</v>
      </c>
      <c r="Q14" s="31">
        <v>0</v>
      </c>
      <c r="R14" s="33">
        <f t="shared" si="2"/>
        <v>4043.9632820000002</v>
      </c>
      <c r="S14" s="33">
        <f t="shared" si="3"/>
        <v>3732.0668000000001</v>
      </c>
      <c r="T14" s="33">
        <f t="shared" si="4"/>
        <v>311.89648199999999</v>
      </c>
      <c r="U14" s="33">
        <f t="shared" si="5"/>
        <v>37.316400000000002</v>
      </c>
      <c r="V14" s="33">
        <f t="shared" si="6"/>
        <v>227.738958</v>
      </c>
      <c r="W14" s="33">
        <f t="shared" si="13"/>
        <v>46.841124000000001</v>
      </c>
      <c r="X14" s="33">
        <f t="shared" si="7"/>
        <v>2137.5614995400001</v>
      </c>
      <c r="Y14" s="33">
        <f t="shared" si="8"/>
        <v>1977.1466006400001</v>
      </c>
      <c r="Z14" s="33">
        <f t="shared" si="9"/>
        <v>160.41489889999997</v>
      </c>
      <c r="AA14" s="33">
        <f t="shared" si="10"/>
        <v>19.566607390000001</v>
      </c>
      <c r="AB14" s="33">
        <f t="shared" si="11"/>
        <v>116.85455387</v>
      </c>
      <c r="AC14" s="33">
        <f t="shared" si="14"/>
        <v>23.993737639999999</v>
      </c>
      <c r="AD14" s="34">
        <f t="shared" ref="AD14:AI37" si="19">X14/R14%</f>
        <v>52.858083777725064</v>
      </c>
      <c r="AE14" s="34">
        <f t="shared" si="19"/>
        <v>52.977256479975125</v>
      </c>
      <c r="AF14" s="34">
        <f t="shared" si="18"/>
        <v>51.432096274814661</v>
      </c>
      <c r="AG14" s="34">
        <f t="shared" si="18"/>
        <v>52.43433822662422</v>
      </c>
      <c r="AH14" s="34">
        <f t="shared" si="18"/>
        <v>51.31074406250687</v>
      </c>
      <c r="AI14" s="50">
        <f t="shared" si="18"/>
        <v>51.223659022358213</v>
      </c>
      <c r="AJ14" s="49"/>
      <c r="AK14" s="3">
        <f t="shared" si="15"/>
        <v>0</v>
      </c>
    </row>
    <row r="15" spans="1:38" x14ac:dyDescent="0.25">
      <c r="A15" s="45" t="s">
        <v>33</v>
      </c>
      <c r="B15" s="31">
        <v>3608141847.5599999</v>
      </c>
      <c r="C15" s="31">
        <v>0</v>
      </c>
      <c r="D15" s="31">
        <v>2396759000</v>
      </c>
      <c r="E15" s="46">
        <f t="shared" si="16"/>
        <v>1211382847.5599999</v>
      </c>
      <c r="F15" s="31">
        <v>835738100</v>
      </c>
      <c r="G15" s="31">
        <v>365794089</v>
      </c>
      <c r="H15" s="31">
        <v>526316</v>
      </c>
      <c r="I15" s="31">
        <v>9324342.5600000005</v>
      </c>
      <c r="J15" s="31">
        <v>1894048974.55</v>
      </c>
      <c r="K15" s="31">
        <v>0</v>
      </c>
      <c r="L15" s="31">
        <v>1298895360.6500001</v>
      </c>
      <c r="M15" s="46">
        <f t="shared" si="17"/>
        <v>595153613.89999998</v>
      </c>
      <c r="N15" s="31">
        <v>425404227.50999999</v>
      </c>
      <c r="O15" s="31">
        <v>163397019.74000001</v>
      </c>
      <c r="P15" s="31">
        <v>124880.51</v>
      </c>
      <c r="Q15" s="31">
        <v>6227486.1399999997</v>
      </c>
      <c r="R15" s="33">
        <f t="shared" si="2"/>
        <v>3608.1418475599999</v>
      </c>
      <c r="S15" s="33">
        <f t="shared" si="3"/>
        <v>2396.759</v>
      </c>
      <c r="T15" s="33">
        <f t="shared" si="4"/>
        <v>1211.3828475599998</v>
      </c>
      <c r="U15" s="33">
        <f t="shared" si="5"/>
        <v>835.73810000000003</v>
      </c>
      <c r="V15" s="33">
        <f t="shared" si="6"/>
        <v>365.79408899999999</v>
      </c>
      <c r="W15" s="33">
        <f t="shared" si="13"/>
        <v>9.8506585600000012</v>
      </c>
      <c r="X15" s="33">
        <f t="shared" si="7"/>
        <v>1894.0489745499999</v>
      </c>
      <c r="Y15" s="33">
        <f t="shared" si="8"/>
        <v>1298.8953606500002</v>
      </c>
      <c r="Z15" s="33">
        <f t="shared" si="9"/>
        <v>595.15361389999998</v>
      </c>
      <c r="AA15" s="33">
        <f t="shared" si="10"/>
        <v>425.40422751</v>
      </c>
      <c r="AB15" s="33">
        <f t="shared" si="11"/>
        <v>163.39701974000002</v>
      </c>
      <c r="AC15" s="33">
        <f t="shared" si="14"/>
        <v>6.3523666499999996</v>
      </c>
      <c r="AD15" s="34">
        <f t="shared" si="19"/>
        <v>52.493750372670291</v>
      </c>
      <c r="AE15" s="34">
        <f t="shared" si="19"/>
        <v>54.193824270608772</v>
      </c>
      <c r="AF15" s="34">
        <f t="shared" si="19"/>
        <v>49.130100785129535</v>
      </c>
      <c r="AG15" s="34">
        <f t="shared" si="19"/>
        <v>50.90161947983465</v>
      </c>
      <c r="AH15" s="34">
        <f t="shared" si="19"/>
        <v>44.669125241113456</v>
      </c>
      <c r="AI15" s="35">
        <f t="shared" si="19"/>
        <v>64.486720469580447</v>
      </c>
      <c r="AJ15" s="49"/>
      <c r="AK15" s="3">
        <f t="shared" si="15"/>
        <v>0</v>
      </c>
    </row>
    <row r="16" spans="1:38" x14ac:dyDescent="0.25">
      <c r="A16" s="45" t="s">
        <v>34</v>
      </c>
      <c r="B16" s="31">
        <v>8107065187.1899996</v>
      </c>
      <c r="C16" s="31">
        <v>0</v>
      </c>
      <c r="D16" s="31">
        <v>7200543000</v>
      </c>
      <c r="E16" s="46">
        <f t="shared" si="16"/>
        <v>906522187.19000006</v>
      </c>
      <c r="F16" s="31">
        <v>608579831.32000005</v>
      </c>
      <c r="G16" s="31">
        <v>0</v>
      </c>
      <c r="H16" s="31">
        <v>149160436</v>
      </c>
      <c r="I16" s="31">
        <v>148781919.87</v>
      </c>
      <c r="J16" s="31">
        <v>3172300373.4400001</v>
      </c>
      <c r="K16" s="31">
        <v>0</v>
      </c>
      <c r="L16" s="31">
        <v>2856494468.9099998</v>
      </c>
      <c r="M16" s="46">
        <f t="shared" si="17"/>
        <v>315805904.53000003</v>
      </c>
      <c r="N16" s="31">
        <v>241221500.11000001</v>
      </c>
      <c r="O16" s="31">
        <v>0</v>
      </c>
      <c r="P16" s="31">
        <v>39395890.130000003</v>
      </c>
      <c r="Q16" s="31">
        <v>35188514.289999999</v>
      </c>
      <c r="R16" s="33">
        <f t="shared" si="2"/>
        <v>8107.06518719</v>
      </c>
      <c r="S16" s="33">
        <f t="shared" si="3"/>
        <v>7200.5429999999997</v>
      </c>
      <c r="T16" s="33">
        <f t="shared" si="4"/>
        <v>906.52218719000007</v>
      </c>
      <c r="U16" s="33">
        <f t="shared" si="5"/>
        <v>608.57983132000004</v>
      </c>
      <c r="V16" s="33">
        <f t="shared" si="6"/>
        <v>0</v>
      </c>
      <c r="W16" s="33">
        <f t="shared" si="13"/>
        <v>297.94235587000003</v>
      </c>
      <c r="X16" s="33">
        <f t="shared" si="7"/>
        <v>3172.3003734399999</v>
      </c>
      <c r="Y16" s="33">
        <f t="shared" si="8"/>
        <v>2856.4944689099998</v>
      </c>
      <c r="Z16" s="33">
        <f t="shared" si="9"/>
        <v>315.80590453000002</v>
      </c>
      <c r="AA16" s="33">
        <f t="shared" si="10"/>
        <v>241.22150011000002</v>
      </c>
      <c r="AB16" s="33">
        <f t="shared" si="11"/>
        <v>0</v>
      </c>
      <c r="AC16" s="33">
        <f t="shared" si="14"/>
        <v>74.584404419999998</v>
      </c>
      <c r="AD16" s="34">
        <f t="shared" si="19"/>
        <v>39.130071119356018</v>
      </c>
      <c r="AE16" s="34">
        <f t="shared" si="19"/>
        <v>39.670542470338695</v>
      </c>
      <c r="AF16" s="34">
        <f t="shared" si="19"/>
        <v>34.83708495970982</v>
      </c>
      <c r="AG16" s="34">
        <f t="shared" si="19"/>
        <v>39.636788420476307</v>
      </c>
      <c r="AH16" s="34"/>
      <c r="AI16" s="35">
        <f t="shared" si="19"/>
        <v>25.033165963332554</v>
      </c>
      <c r="AJ16" s="49"/>
      <c r="AK16" s="3">
        <f t="shared" si="15"/>
        <v>0</v>
      </c>
    </row>
    <row r="17" spans="1:39" ht="26.4" x14ac:dyDescent="0.25">
      <c r="A17" s="45" t="s">
        <v>35</v>
      </c>
      <c r="B17" s="31">
        <v>1765850300</v>
      </c>
      <c r="C17" s="31">
        <v>0</v>
      </c>
      <c r="D17" s="31">
        <v>1765850300</v>
      </c>
      <c r="E17" s="46">
        <f t="shared" si="16"/>
        <v>0</v>
      </c>
      <c r="F17" s="51">
        <v>0</v>
      </c>
      <c r="G17" s="51">
        <v>0</v>
      </c>
      <c r="H17" s="51">
        <v>0</v>
      </c>
      <c r="I17" s="51">
        <v>0</v>
      </c>
      <c r="J17" s="52">
        <v>1117650937.1800001</v>
      </c>
      <c r="K17" s="52">
        <v>0</v>
      </c>
      <c r="L17" s="52">
        <v>1117650937.1800001</v>
      </c>
      <c r="M17" s="46">
        <f t="shared" si="17"/>
        <v>0</v>
      </c>
      <c r="N17" s="53">
        <v>0</v>
      </c>
      <c r="O17" s="53">
        <v>0</v>
      </c>
      <c r="P17" s="53">
        <v>0</v>
      </c>
      <c r="Q17" s="53">
        <v>0</v>
      </c>
      <c r="R17" s="33">
        <f t="shared" si="2"/>
        <v>1765.8503000000001</v>
      </c>
      <c r="S17" s="33">
        <f t="shared" si="3"/>
        <v>1765.8503000000001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13"/>
        <v>0</v>
      </c>
      <c r="X17" s="33">
        <f t="shared" si="7"/>
        <v>1117.65093718</v>
      </c>
      <c r="Y17" s="33">
        <f t="shared" si="8"/>
        <v>1117.65093718</v>
      </c>
      <c r="Z17" s="33">
        <f t="shared" si="9"/>
        <v>0</v>
      </c>
      <c r="AA17" s="33">
        <f t="shared" si="10"/>
        <v>0</v>
      </c>
      <c r="AB17" s="33">
        <f t="shared" si="11"/>
        <v>0</v>
      </c>
      <c r="AC17" s="33">
        <f t="shared" si="14"/>
        <v>0</v>
      </c>
      <c r="AD17" s="34">
        <f t="shared" si="19"/>
        <v>63.292507704645182</v>
      </c>
      <c r="AE17" s="34">
        <f t="shared" si="19"/>
        <v>63.292507704645182</v>
      </c>
      <c r="AF17" s="47" t="s">
        <v>30</v>
      </c>
      <c r="AG17" s="47" t="s">
        <v>30</v>
      </c>
      <c r="AH17" s="47" t="s">
        <v>30</v>
      </c>
      <c r="AI17" s="54" t="s">
        <v>30</v>
      </c>
      <c r="AJ17" s="49"/>
      <c r="AK17" s="3">
        <f t="shared" si="15"/>
        <v>0</v>
      </c>
    </row>
    <row r="18" spans="1:39" x14ac:dyDescent="0.25">
      <c r="A18" s="45" t="s">
        <v>36</v>
      </c>
      <c r="B18" s="31">
        <v>340538616</v>
      </c>
      <c r="C18" s="31">
        <v>0</v>
      </c>
      <c r="D18" s="31">
        <v>130238000</v>
      </c>
      <c r="E18" s="46">
        <f t="shared" si="16"/>
        <v>210300616</v>
      </c>
      <c r="F18" s="31">
        <v>163973700</v>
      </c>
      <c r="G18" s="31">
        <v>42282151</v>
      </c>
      <c r="H18" s="31">
        <v>689200</v>
      </c>
      <c r="I18" s="31">
        <v>3355565</v>
      </c>
      <c r="J18" s="31">
        <v>171449022.96000001</v>
      </c>
      <c r="K18" s="31">
        <v>0</v>
      </c>
      <c r="L18" s="52">
        <v>77852142.959999993</v>
      </c>
      <c r="M18" s="46">
        <f t="shared" si="17"/>
        <v>93596880</v>
      </c>
      <c r="N18" s="31">
        <v>69394746.670000002</v>
      </c>
      <c r="O18" s="31">
        <v>22912100.449999999</v>
      </c>
      <c r="P18" s="31">
        <v>248344.6</v>
      </c>
      <c r="Q18" s="31">
        <v>1041688.28</v>
      </c>
      <c r="R18" s="33">
        <f t="shared" si="2"/>
        <v>340.53861599999999</v>
      </c>
      <c r="S18" s="33">
        <f t="shared" si="3"/>
        <v>130.238</v>
      </c>
      <c r="T18" s="33">
        <f t="shared" si="4"/>
        <v>210.30061599999999</v>
      </c>
      <c r="U18" s="33">
        <f t="shared" si="5"/>
        <v>163.97370000000001</v>
      </c>
      <c r="V18" s="33">
        <f t="shared" si="6"/>
        <v>42.282150999999999</v>
      </c>
      <c r="W18" s="33">
        <f t="shared" si="13"/>
        <v>4.0447649999999999</v>
      </c>
      <c r="X18" s="33">
        <f t="shared" si="7"/>
        <v>171.44902296000001</v>
      </c>
      <c r="Y18" s="33">
        <f t="shared" si="8"/>
        <v>77.852142959999995</v>
      </c>
      <c r="Z18" s="33">
        <f t="shared" si="9"/>
        <v>93.596879999999999</v>
      </c>
      <c r="AA18" s="33">
        <f t="shared" si="10"/>
        <v>69.394746670000004</v>
      </c>
      <c r="AB18" s="33">
        <f t="shared" si="11"/>
        <v>22.912100450000001</v>
      </c>
      <c r="AC18" s="33">
        <f t="shared" si="14"/>
        <v>1.29003288</v>
      </c>
      <c r="AD18" s="34">
        <f t="shared" si="19"/>
        <v>50.3464261920886</v>
      </c>
      <c r="AE18" s="33">
        <f t="shared" si="19"/>
        <v>59.776826241189198</v>
      </c>
      <c r="AF18" s="34">
        <f t="shared" si="19"/>
        <v>44.506231974137442</v>
      </c>
      <c r="AG18" s="34">
        <f t="shared" si="19"/>
        <v>42.320656708972237</v>
      </c>
      <c r="AH18" s="34">
        <f t="shared" si="19"/>
        <v>54.188587638315752</v>
      </c>
      <c r="AI18" s="50">
        <f t="shared" si="19"/>
        <v>31.893889509032046</v>
      </c>
      <c r="AJ18" s="49"/>
      <c r="AK18" s="3">
        <f t="shared" si="15"/>
        <v>0</v>
      </c>
    </row>
    <row r="19" spans="1:39" ht="26.4" x14ac:dyDescent="0.25">
      <c r="A19" s="45" t="s">
        <v>37</v>
      </c>
      <c r="B19" s="31">
        <v>1010</v>
      </c>
      <c r="C19" s="31">
        <v>0</v>
      </c>
      <c r="D19" s="31">
        <v>0</v>
      </c>
      <c r="E19" s="46">
        <f t="shared" si="16"/>
        <v>1010</v>
      </c>
      <c r="F19" s="31">
        <v>1000</v>
      </c>
      <c r="G19" s="31">
        <v>0</v>
      </c>
      <c r="H19" s="31">
        <v>0</v>
      </c>
      <c r="I19" s="31">
        <v>10</v>
      </c>
      <c r="J19" s="55">
        <v>43565.84</v>
      </c>
      <c r="K19" s="55">
        <v>0</v>
      </c>
      <c r="L19" s="55">
        <v>17605.689999999999</v>
      </c>
      <c r="M19" s="46">
        <f t="shared" si="17"/>
        <v>25960.15</v>
      </c>
      <c r="N19" s="55">
        <v>21881.47</v>
      </c>
      <c r="O19" s="55">
        <v>1035.06</v>
      </c>
      <c r="P19" s="55">
        <v>2839.27</v>
      </c>
      <c r="Q19" s="55">
        <v>204.35</v>
      </c>
      <c r="R19" s="33">
        <f t="shared" si="2"/>
        <v>1.01E-3</v>
      </c>
      <c r="S19" s="33">
        <f t="shared" si="3"/>
        <v>0</v>
      </c>
      <c r="T19" s="33">
        <f t="shared" si="4"/>
        <v>1.01E-3</v>
      </c>
      <c r="U19" s="33">
        <f t="shared" si="5"/>
        <v>1E-3</v>
      </c>
      <c r="V19" s="33">
        <f t="shared" si="6"/>
        <v>0</v>
      </c>
      <c r="W19" s="33">
        <f t="shared" si="13"/>
        <v>1.0000000000000001E-5</v>
      </c>
      <c r="X19" s="33">
        <f t="shared" si="7"/>
        <v>4.3565839999999995E-2</v>
      </c>
      <c r="Y19" s="33">
        <f t="shared" si="8"/>
        <v>1.760569E-2</v>
      </c>
      <c r="Z19" s="33">
        <f t="shared" si="9"/>
        <v>2.5960150000000001E-2</v>
      </c>
      <c r="AA19" s="33">
        <f t="shared" si="10"/>
        <v>2.188147E-2</v>
      </c>
      <c r="AB19" s="33">
        <f t="shared" si="11"/>
        <v>1.03506E-3</v>
      </c>
      <c r="AC19" s="33">
        <f t="shared" si="14"/>
        <v>3.0436199999999999E-3</v>
      </c>
      <c r="AD19" s="34"/>
      <c r="AE19" s="33"/>
      <c r="AF19" s="34"/>
      <c r="AG19" s="34"/>
      <c r="AH19" s="34"/>
      <c r="AI19" s="35"/>
      <c r="AJ19" s="49"/>
      <c r="AK19" s="56">
        <f t="shared" si="15"/>
        <v>0</v>
      </c>
      <c r="AL19" s="3">
        <f>SUM(X12:X18)/SUM(R12:R18)*100</f>
        <v>44.720209028176846</v>
      </c>
      <c r="AM19" s="3">
        <f>SUM(Z12:Z18)/SUM(T12:T18)*100</f>
        <v>45.88724356188866</v>
      </c>
    </row>
    <row r="20" spans="1:39" x14ac:dyDescent="0.25">
      <c r="A20" s="45" t="s">
        <v>38</v>
      </c>
      <c r="B20" s="55">
        <v>1182318477.5599999</v>
      </c>
      <c r="C20" s="55">
        <v>711466.67</v>
      </c>
      <c r="D20" s="55">
        <v>30470500</v>
      </c>
      <c r="E20" s="46">
        <f t="shared" si="16"/>
        <v>1152559444.23</v>
      </c>
      <c r="F20" s="55">
        <v>788783068.73000002</v>
      </c>
      <c r="G20" s="55">
        <v>198985600</v>
      </c>
      <c r="H20" s="55">
        <v>116808199.59</v>
      </c>
      <c r="I20" s="55">
        <v>47982575.909999996</v>
      </c>
      <c r="J20" s="31">
        <v>483703079.61000001</v>
      </c>
      <c r="K20" s="31">
        <v>0</v>
      </c>
      <c r="L20" s="31">
        <v>13719748.460000001</v>
      </c>
      <c r="M20" s="46">
        <f t="shared" si="17"/>
        <v>469983331.15000004</v>
      </c>
      <c r="N20" s="31">
        <v>335192919.30000001</v>
      </c>
      <c r="O20" s="31">
        <v>66667357.130000003</v>
      </c>
      <c r="P20" s="31">
        <v>41813859.100000001</v>
      </c>
      <c r="Q20" s="31">
        <v>26309195.620000001</v>
      </c>
      <c r="R20" s="33">
        <f t="shared" si="2"/>
        <v>1182.31847756</v>
      </c>
      <c r="S20" s="33">
        <f t="shared" si="3"/>
        <v>30.470500000000001</v>
      </c>
      <c r="T20" s="33">
        <f t="shared" si="4"/>
        <v>1152.5594442300001</v>
      </c>
      <c r="U20" s="33">
        <f t="shared" si="5"/>
        <v>788.78306872999997</v>
      </c>
      <c r="V20" s="33">
        <f t="shared" si="6"/>
        <v>198.98560000000001</v>
      </c>
      <c r="W20" s="33">
        <f t="shared" si="13"/>
        <v>164.7907755</v>
      </c>
      <c r="X20" s="33">
        <f t="shared" si="7"/>
        <v>483.70307961000003</v>
      </c>
      <c r="Y20" s="33">
        <f t="shared" si="8"/>
        <v>13.719748460000002</v>
      </c>
      <c r="Z20" s="33">
        <f t="shared" si="9"/>
        <v>469.98333115000003</v>
      </c>
      <c r="AA20" s="33">
        <f t="shared" si="10"/>
        <v>335.19291930000003</v>
      </c>
      <c r="AB20" s="33">
        <f t="shared" si="11"/>
        <v>66.667357129999999</v>
      </c>
      <c r="AC20" s="33">
        <f t="shared" si="14"/>
        <v>68.123054719999999</v>
      </c>
      <c r="AD20" s="34">
        <f t="shared" si="19"/>
        <v>40.911403212460847</v>
      </c>
      <c r="AE20" s="34">
        <f t="shared" si="19"/>
        <v>45.026331894783482</v>
      </c>
      <c r="AF20" s="34">
        <f t="shared" si="19"/>
        <v>40.77736150641546</v>
      </c>
      <c r="AG20" s="34">
        <f t="shared" si="19"/>
        <v>42.494943488034785</v>
      </c>
      <c r="AH20" s="34">
        <f t="shared" si="19"/>
        <v>33.503608869184504</v>
      </c>
      <c r="AI20" s="50">
        <f t="shared" si="19"/>
        <v>41.339118960575561</v>
      </c>
      <c r="AJ20" s="57"/>
      <c r="AK20" s="3">
        <f t="shared" si="15"/>
        <v>0</v>
      </c>
    </row>
    <row r="21" spans="1:39" x14ac:dyDescent="0.25">
      <c r="A21" s="45" t="s">
        <v>39</v>
      </c>
      <c r="B21" s="31">
        <v>517276805</v>
      </c>
      <c r="C21" s="31">
        <v>0</v>
      </c>
      <c r="D21" s="31">
        <v>424187400</v>
      </c>
      <c r="E21" s="46">
        <f t="shared" si="16"/>
        <v>93089405</v>
      </c>
      <c r="F21" s="31">
        <v>68499500</v>
      </c>
      <c r="G21" s="31">
        <v>24589905</v>
      </c>
      <c r="H21" s="31">
        <v>0</v>
      </c>
      <c r="I21" s="31">
        <v>0</v>
      </c>
      <c r="J21" s="31">
        <v>433342624.81</v>
      </c>
      <c r="K21" s="31">
        <v>0</v>
      </c>
      <c r="L21" s="31">
        <v>314321154.69999999</v>
      </c>
      <c r="M21" s="46">
        <f t="shared" si="17"/>
        <v>119021470.11</v>
      </c>
      <c r="N21" s="31">
        <v>85734291</v>
      </c>
      <c r="O21" s="31">
        <v>33287179.109999999</v>
      </c>
      <c r="P21" s="31">
        <v>0</v>
      </c>
      <c r="Q21" s="31">
        <v>0</v>
      </c>
      <c r="R21" s="33">
        <f t="shared" si="2"/>
        <v>517.27680499999997</v>
      </c>
      <c r="S21" s="33">
        <f t="shared" si="3"/>
        <v>424.18740000000003</v>
      </c>
      <c r="T21" s="33">
        <f t="shared" si="4"/>
        <v>93.089404999999999</v>
      </c>
      <c r="U21" s="33">
        <f t="shared" si="5"/>
        <v>68.499499999999998</v>
      </c>
      <c r="V21" s="33">
        <f t="shared" si="6"/>
        <v>24.589905000000002</v>
      </c>
      <c r="W21" s="33">
        <f t="shared" si="13"/>
        <v>0</v>
      </c>
      <c r="X21" s="33">
        <f t="shared" si="7"/>
        <v>433.34262481000002</v>
      </c>
      <c r="Y21" s="33">
        <f t="shared" si="8"/>
        <v>314.32115469999997</v>
      </c>
      <c r="Z21" s="33">
        <f t="shared" si="9"/>
        <v>119.02147011</v>
      </c>
      <c r="AA21" s="33">
        <f t="shared" si="10"/>
        <v>85.734290999999999</v>
      </c>
      <c r="AB21" s="33">
        <f t="shared" si="11"/>
        <v>33.287179109999997</v>
      </c>
      <c r="AC21" s="33">
        <f t="shared" si="14"/>
        <v>0</v>
      </c>
      <c r="AD21" s="34">
        <f t="shared" si="19"/>
        <v>83.773836487796913</v>
      </c>
      <c r="AE21" s="34">
        <f t="shared" si="19"/>
        <v>74.099597182754593</v>
      </c>
      <c r="AF21" s="34">
        <f t="shared" si="19"/>
        <v>127.857160661839</v>
      </c>
      <c r="AG21" s="33">
        <f t="shared" si="19"/>
        <v>125.16046248512762</v>
      </c>
      <c r="AH21" s="34">
        <f t="shared" si="19"/>
        <v>135.3692871525937</v>
      </c>
      <c r="AI21" s="48" t="s">
        <v>30</v>
      </c>
      <c r="AJ21" s="49"/>
      <c r="AK21" s="4">
        <f t="shared" si="15"/>
        <v>0</v>
      </c>
    </row>
    <row r="22" spans="1:39" ht="26.4" x14ac:dyDescent="0.25">
      <c r="A22" s="45" t="s">
        <v>40</v>
      </c>
      <c r="B22" s="31">
        <v>171843800.08000001</v>
      </c>
      <c r="C22" s="31">
        <v>0</v>
      </c>
      <c r="D22" s="31">
        <v>31705855.739999998</v>
      </c>
      <c r="E22" s="46">
        <f t="shared" si="16"/>
        <v>140137944.34</v>
      </c>
      <c r="F22" s="31">
        <v>93315478.090000004</v>
      </c>
      <c r="G22" s="31">
        <v>13698115.93</v>
      </c>
      <c r="H22" s="31">
        <v>12708690.369999999</v>
      </c>
      <c r="I22" s="31">
        <v>20415659.949999999</v>
      </c>
      <c r="J22" s="31">
        <v>111491081.05</v>
      </c>
      <c r="K22" s="31">
        <v>0</v>
      </c>
      <c r="L22" s="31">
        <v>42395505.600000001</v>
      </c>
      <c r="M22" s="46">
        <f t="shared" si="17"/>
        <v>69095575.450000003</v>
      </c>
      <c r="N22" s="31">
        <v>44929025.189999998</v>
      </c>
      <c r="O22" s="31">
        <v>5114020.67</v>
      </c>
      <c r="P22" s="31">
        <v>7377554.5</v>
      </c>
      <c r="Q22" s="31">
        <v>11674975.09</v>
      </c>
      <c r="R22" s="33">
        <f t="shared" si="2"/>
        <v>171.84380008000002</v>
      </c>
      <c r="S22" s="33">
        <f t="shared" si="3"/>
        <v>31.705855739999997</v>
      </c>
      <c r="T22" s="33">
        <f t="shared" si="4"/>
        <v>140.13794433999999</v>
      </c>
      <c r="U22" s="33">
        <f t="shared" si="5"/>
        <v>93.315478089999999</v>
      </c>
      <c r="V22" s="33">
        <f t="shared" si="6"/>
        <v>13.69811593</v>
      </c>
      <c r="W22" s="33">
        <f t="shared" si="13"/>
        <v>33.124350319999998</v>
      </c>
      <c r="X22" s="33">
        <f t="shared" si="7"/>
        <v>111.49108104999999</v>
      </c>
      <c r="Y22" s="33">
        <f t="shared" si="8"/>
        <v>42.3955056</v>
      </c>
      <c r="Z22" s="33">
        <f t="shared" si="9"/>
        <v>69.095575449999998</v>
      </c>
      <c r="AA22" s="33">
        <f t="shared" si="10"/>
        <v>44.929025189999997</v>
      </c>
      <c r="AB22" s="33">
        <f t="shared" si="11"/>
        <v>5.1140206699999995</v>
      </c>
      <c r="AC22" s="33">
        <f t="shared" si="14"/>
        <v>19.052529589999999</v>
      </c>
      <c r="AD22" s="34">
        <f t="shared" si="19"/>
        <v>64.879315400437221</v>
      </c>
      <c r="AE22" s="34">
        <f t="shared" si="19"/>
        <v>133.71506496358012</v>
      </c>
      <c r="AF22" s="33">
        <f t="shared" si="19"/>
        <v>49.305401028547728</v>
      </c>
      <c r="AG22" s="34">
        <f t="shared" si="19"/>
        <v>48.147452180084521</v>
      </c>
      <c r="AH22" s="33">
        <f t="shared" si="19"/>
        <v>37.333752292166501</v>
      </c>
      <c r="AI22" s="50">
        <f t="shared" si="19"/>
        <v>57.518198563720546</v>
      </c>
      <c r="AJ22" s="57"/>
      <c r="AK22" s="3">
        <f t="shared" si="15"/>
        <v>0</v>
      </c>
    </row>
    <row r="23" spans="1:39" x14ac:dyDescent="0.25">
      <c r="A23" s="45" t="s">
        <v>41</v>
      </c>
      <c r="B23" s="31">
        <v>660612487.13999999</v>
      </c>
      <c r="C23" s="31">
        <v>0</v>
      </c>
      <c r="D23" s="31">
        <v>1200000</v>
      </c>
      <c r="E23" s="46">
        <f t="shared" si="16"/>
        <v>659412487.13999999</v>
      </c>
      <c r="F23" s="31">
        <v>543042250</v>
      </c>
      <c r="G23" s="31">
        <v>68290334</v>
      </c>
      <c r="H23" s="31">
        <v>33047495.710000001</v>
      </c>
      <c r="I23" s="31">
        <v>15032407.43</v>
      </c>
      <c r="J23" s="31">
        <v>342663946.13</v>
      </c>
      <c r="K23" s="31">
        <v>0</v>
      </c>
      <c r="L23" s="31">
        <v>513597.04</v>
      </c>
      <c r="M23" s="46">
        <f t="shared" si="17"/>
        <v>342150349.08999997</v>
      </c>
      <c r="N23" s="31">
        <v>293311999.19999999</v>
      </c>
      <c r="O23" s="31">
        <v>34194016.07</v>
      </c>
      <c r="P23" s="31">
        <v>9612926.2799999993</v>
      </c>
      <c r="Q23" s="31">
        <v>5031407.54</v>
      </c>
      <c r="R23" s="33">
        <f t="shared" si="2"/>
        <v>660.61248713999998</v>
      </c>
      <c r="S23" s="33">
        <f t="shared" si="3"/>
        <v>1.2</v>
      </c>
      <c r="T23" s="33">
        <f t="shared" si="4"/>
        <v>659.41248713999994</v>
      </c>
      <c r="U23" s="33">
        <f t="shared" si="5"/>
        <v>543.04224999999997</v>
      </c>
      <c r="V23" s="33">
        <f t="shared" si="6"/>
        <v>68.290334000000001</v>
      </c>
      <c r="W23" s="33">
        <f t="shared" si="13"/>
        <v>48.079903139999999</v>
      </c>
      <c r="X23" s="33">
        <f t="shared" si="7"/>
        <v>342.66394613</v>
      </c>
      <c r="Y23" s="33">
        <f t="shared" si="8"/>
        <v>0.51359703999999995</v>
      </c>
      <c r="Z23" s="33">
        <f t="shared" si="9"/>
        <v>342.15034908999996</v>
      </c>
      <c r="AA23" s="33">
        <f t="shared" si="10"/>
        <v>293.3119992</v>
      </c>
      <c r="AB23" s="33">
        <f t="shared" si="11"/>
        <v>34.194016070000004</v>
      </c>
      <c r="AC23" s="33">
        <f t="shared" si="14"/>
        <v>14.64433382</v>
      </c>
      <c r="AD23" s="34">
        <f t="shared" si="19"/>
        <v>51.870643198632287</v>
      </c>
      <c r="AE23" s="34">
        <f t="shared" si="19"/>
        <v>42.799753333333328</v>
      </c>
      <c r="AF23" s="34">
        <f>Z23/T23%</f>
        <v>51.887150419909773</v>
      </c>
      <c r="AG23" s="34">
        <f>AA23/U23%</f>
        <v>54.012740113683606</v>
      </c>
      <c r="AH23" s="34">
        <f>AB23/V23%</f>
        <v>50.071531455681566</v>
      </c>
      <c r="AI23" s="50">
        <f>AC23/W23%</f>
        <v>30.458326376736544</v>
      </c>
      <c r="AJ23" s="57"/>
      <c r="AK23" s="3">
        <f t="shared" si="15"/>
        <v>0</v>
      </c>
    </row>
    <row r="24" spans="1:39" x14ac:dyDescent="0.25">
      <c r="A24" s="45" t="s">
        <v>42</v>
      </c>
      <c r="B24" s="31">
        <v>815000</v>
      </c>
      <c r="C24" s="31">
        <v>0</v>
      </c>
      <c r="D24" s="31">
        <v>780000</v>
      </c>
      <c r="E24" s="46">
        <f t="shared" si="16"/>
        <v>35000</v>
      </c>
      <c r="F24" s="31">
        <v>0</v>
      </c>
      <c r="G24" s="31">
        <v>0</v>
      </c>
      <c r="H24" s="31">
        <v>0</v>
      </c>
      <c r="I24" s="31">
        <v>35000</v>
      </c>
      <c r="J24" s="31">
        <v>427026.46</v>
      </c>
      <c r="K24" s="31">
        <v>0</v>
      </c>
      <c r="L24" s="31">
        <v>377098.4</v>
      </c>
      <c r="M24" s="46">
        <f t="shared" si="17"/>
        <v>49928.06</v>
      </c>
      <c r="N24" s="31">
        <v>0</v>
      </c>
      <c r="O24" s="31">
        <v>0</v>
      </c>
      <c r="P24" s="31">
        <v>0</v>
      </c>
      <c r="Q24" s="31">
        <v>49928.06</v>
      </c>
      <c r="R24" s="33">
        <f t="shared" si="2"/>
        <v>0.81499999999999995</v>
      </c>
      <c r="S24" s="33">
        <f t="shared" si="3"/>
        <v>0.78</v>
      </c>
      <c r="T24" s="33">
        <f t="shared" si="4"/>
        <v>3.5000000000000003E-2</v>
      </c>
      <c r="U24" s="33">
        <f t="shared" si="5"/>
        <v>0</v>
      </c>
      <c r="V24" s="33">
        <f t="shared" si="6"/>
        <v>0</v>
      </c>
      <c r="W24" s="33">
        <f t="shared" si="13"/>
        <v>3.5000000000000003E-2</v>
      </c>
      <c r="X24" s="33">
        <f t="shared" si="7"/>
        <v>0.42702646</v>
      </c>
      <c r="Y24" s="33">
        <f t="shared" si="8"/>
        <v>0.3770984</v>
      </c>
      <c r="Z24" s="33">
        <f t="shared" si="9"/>
        <v>4.9928059999999996E-2</v>
      </c>
      <c r="AA24" s="33">
        <f t="shared" si="10"/>
        <v>0</v>
      </c>
      <c r="AB24" s="33">
        <f t="shared" si="11"/>
        <v>0</v>
      </c>
      <c r="AC24" s="33">
        <f t="shared" si="14"/>
        <v>4.9928059999999996E-2</v>
      </c>
      <c r="AD24" s="33">
        <f t="shared" si="19"/>
        <v>52.395884662576691</v>
      </c>
      <c r="AE24" s="33">
        <f t="shared" si="19"/>
        <v>48.345948717948716</v>
      </c>
      <c r="AF24" s="33">
        <f>Z24/T24%</f>
        <v>142.65159999999997</v>
      </c>
      <c r="AG24" s="47" t="s">
        <v>30</v>
      </c>
      <c r="AH24" s="47" t="s">
        <v>30</v>
      </c>
      <c r="AI24" s="35">
        <f>AC24/W24%</f>
        <v>142.65159999999997</v>
      </c>
      <c r="AJ24" s="36"/>
      <c r="AK24" s="3">
        <f t="shared" si="15"/>
        <v>0</v>
      </c>
    </row>
    <row r="25" spans="1:39" x14ac:dyDescent="0.25">
      <c r="A25" s="45" t="s">
        <v>43</v>
      </c>
      <c r="B25" s="31">
        <v>518011772.75999999</v>
      </c>
      <c r="C25" s="31">
        <v>0</v>
      </c>
      <c r="D25" s="31">
        <v>361253000</v>
      </c>
      <c r="E25" s="46">
        <f t="shared" si="16"/>
        <v>156758772.76000002</v>
      </c>
      <c r="F25" s="31">
        <v>120390628.86</v>
      </c>
      <c r="G25" s="31">
        <v>32619800</v>
      </c>
      <c r="H25" s="31">
        <v>678798.56</v>
      </c>
      <c r="I25" s="31">
        <v>3069545.34</v>
      </c>
      <c r="J25" s="31">
        <v>272649833.12</v>
      </c>
      <c r="K25" s="31">
        <v>0</v>
      </c>
      <c r="L25" s="31">
        <v>182443973.06999999</v>
      </c>
      <c r="M25" s="46">
        <f t="shared" si="17"/>
        <v>90205860.050000012</v>
      </c>
      <c r="N25" s="31">
        <v>65797120.210000001</v>
      </c>
      <c r="O25" s="31">
        <v>20633230</v>
      </c>
      <c r="P25" s="31">
        <v>862975.62</v>
      </c>
      <c r="Q25" s="31">
        <v>2912534.22</v>
      </c>
      <c r="R25" s="33">
        <f t="shared" si="2"/>
        <v>518.01177275999999</v>
      </c>
      <c r="S25" s="33">
        <f t="shared" si="3"/>
        <v>361.25299999999999</v>
      </c>
      <c r="T25" s="33">
        <f t="shared" si="4"/>
        <v>156.75877276000003</v>
      </c>
      <c r="U25" s="33">
        <f t="shared" si="5"/>
        <v>120.39062885999999</v>
      </c>
      <c r="V25" s="33">
        <f t="shared" si="6"/>
        <v>32.619799999999998</v>
      </c>
      <c r="W25" s="33">
        <f t="shared" si="13"/>
        <v>3.7483439000000001</v>
      </c>
      <c r="X25" s="33">
        <f t="shared" si="7"/>
        <v>272.64983311999998</v>
      </c>
      <c r="Y25" s="33">
        <f t="shared" si="8"/>
        <v>182.44397307</v>
      </c>
      <c r="Z25" s="33">
        <f t="shared" si="9"/>
        <v>90.205860050000013</v>
      </c>
      <c r="AA25" s="33">
        <f t="shared" si="10"/>
        <v>65.797120210000003</v>
      </c>
      <c r="AB25" s="33">
        <f t="shared" si="11"/>
        <v>20.633230000000001</v>
      </c>
      <c r="AC25" s="33">
        <f t="shared" si="14"/>
        <v>3.7755098400000002</v>
      </c>
      <c r="AD25" s="33">
        <f t="shared" si="19"/>
        <v>52.633906690441449</v>
      </c>
      <c r="AE25" s="33">
        <f t="shared" si="19"/>
        <v>50.503102554165636</v>
      </c>
      <c r="AF25" s="33">
        <f t="shared" si="19"/>
        <v>57.544377556531714</v>
      </c>
      <c r="AG25" s="33">
        <f t="shared" si="19"/>
        <v>54.653024768658902</v>
      </c>
      <c r="AH25" s="33">
        <f t="shared" si="19"/>
        <v>63.25369867381162</v>
      </c>
      <c r="AI25" s="35">
        <f t="shared" si="19"/>
        <v>100.72474513344413</v>
      </c>
      <c r="AJ25" s="36"/>
      <c r="AK25" s="3">
        <f t="shared" si="15"/>
        <v>0</v>
      </c>
    </row>
    <row r="26" spans="1:39" x14ac:dyDescent="0.25">
      <c r="A26" s="45" t="s">
        <v>44</v>
      </c>
      <c r="B26" s="31">
        <v>33330417.030000001</v>
      </c>
      <c r="C26" s="31">
        <v>0</v>
      </c>
      <c r="D26" s="31">
        <v>0</v>
      </c>
      <c r="E26" s="46">
        <f t="shared" si="16"/>
        <v>33330417.029999997</v>
      </c>
      <c r="F26" s="31">
        <v>26669547.34</v>
      </c>
      <c r="G26" s="31">
        <v>447700</v>
      </c>
      <c r="H26" s="31">
        <v>4747357.13</v>
      </c>
      <c r="I26" s="31">
        <v>1465812.56</v>
      </c>
      <c r="J26" s="38">
        <v>16098533.6</v>
      </c>
      <c r="K26" s="38">
        <v>-4300.6000000000004</v>
      </c>
      <c r="L26" s="38">
        <v>-360912.8</v>
      </c>
      <c r="M26" s="46">
        <f t="shared" si="17"/>
        <v>16455145.799999999</v>
      </c>
      <c r="N26" s="31">
        <v>12767293.35</v>
      </c>
      <c r="O26" s="31">
        <v>53117.18</v>
      </c>
      <c r="P26" s="31">
        <v>2359783.92</v>
      </c>
      <c r="Q26" s="31">
        <v>1274951.3500000001</v>
      </c>
      <c r="R26" s="33">
        <f t="shared" si="2"/>
        <v>33.33041703</v>
      </c>
      <c r="S26" s="33">
        <f t="shared" si="3"/>
        <v>0</v>
      </c>
      <c r="T26" s="33">
        <f t="shared" si="4"/>
        <v>33.33041703</v>
      </c>
      <c r="U26" s="33">
        <f t="shared" si="5"/>
        <v>26.669547340000001</v>
      </c>
      <c r="V26" s="33">
        <f t="shared" si="6"/>
        <v>0.44769999999999999</v>
      </c>
      <c r="W26" s="33">
        <f t="shared" si="13"/>
        <v>6.2131696899999991</v>
      </c>
      <c r="X26" s="33">
        <f t="shared" ref="X26:X37" si="20">J26/1000000</f>
        <v>16.0985336</v>
      </c>
      <c r="Y26" s="33">
        <f t="shared" si="8"/>
        <v>-0.36091279999999998</v>
      </c>
      <c r="Z26" s="58">
        <f t="shared" si="9"/>
        <v>16.4551458</v>
      </c>
      <c r="AA26" s="33">
        <f t="shared" si="10"/>
        <v>12.767293349999999</v>
      </c>
      <c r="AB26" s="33">
        <f t="shared" si="11"/>
        <v>5.311718E-2</v>
      </c>
      <c r="AC26" s="33">
        <f t="shared" si="14"/>
        <v>3.6347352700000002</v>
      </c>
      <c r="AD26" s="33">
        <f t="shared" si="19"/>
        <v>48.299826508351373</v>
      </c>
      <c r="AE26" s="59" t="s">
        <v>30</v>
      </c>
      <c r="AF26" s="33">
        <f>Z26/T26%</f>
        <v>49.36975671558227</v>
      </c>
      <c r="AG26" s="33">
        <f>AA26/U26%</f>
        <v>47.872178658432375</v>
      </c>
      <c r="AH26" s="59" t="s">
        <v>30</v>
      </c>
      <c r="AI26" s="35">
        <f>AC26/W26%</f>
        <v>58.500498961907489</v>
      </c>
      <c r="AJ26" s="36"/>
      <c r="AK26" s="60">
        <f t="shared" si="15"/>
        <v>4.3006000000005429E-3</v>
      </c>
      <c r="AL26" s="60">
        <f>AK26*1000</f>
        <v>4.3006000000005429</v>
      </c>
    </row>
    <row r="27" spans="1:39" s="67" customFormat="1" hidden="1" x14ac:dyDescent="0.25">
      <c r="A27" s="61" t="s">
        <v>45</v>
      </c>
      <c r="B27" s="62">
        <v>-29764.29</v>
      </c>
      <c r="C27" s="62">
        <v>0</v>
      </c>
      <c r="D27" s="62">
        <v>0</v>
      </c>
      <c r="E27" s="46">
        <f t="shared" si="16"/>
        <v>-29764.29</v>
      </c>
      <c r="F27" s="62">
        <v>-18722.66</v>
      </c>
      <c r="G27" s="62">
        <v>0</v>
      </c>
      <c r="H27" s="62">
        <v>0</v>
      </c>
      <c r="I27" s="62">
        <v>-11041.63</v>
      </c>
      <c r="J27" s="62">
        <v>-532729.06000000006</v>
      </c>
      <c r="K27" s="62">
        <v>-4300.6000000000004</v>
      </c>
      <c r="L27" s="62">
        <v>-365854.13</v>
      </c>
      <c r="M27" s="46">
        <f t="shared" si="17"/>
        <v>-171175.53000000003</v>
      </c>
      <c r="N27" s="62">
        <v>-78337.97</v>
      </c>
      <c r="O27" s="62">
        <v>-141914.69</v>
      </c>
      <c r="P27" s="62">
        <v>27090.71</v>
      </c>
      <c r="Q27" s="62">
        <v>21986.42</v>
      </c>
      <c r="R27" s="63">
        <f t="shared" si="2"/>
        <v>-2.9764290000000002E-2</v>
      </c>
      <c r="S27" s="63"/>
      <c r="T27" s="63">
        <f t="shared" ref="T27:T37" si="21">E27/1000000</f>
        <v>-2.9764290000000002E-2</v>
      </c>
      <c r="U27" s="63">
        <f t="shared" ref="U27:U37" si="22">F27/1000000</f>
        <v>-1.8722659999999999E-2</v>
      </c>
      <c r="V27" s="63"/>
      <c r="W27" s="63">
        <f t="shared" si="13"/>
        <v>-1.1041629999999998E-2</v>
      </c>
      <c r="X27" s="63">
        <f t="shared" si="20"/>
        <v>-0.53272906000000009</v>
      </c>
      <c r="Y27" s="63">
        <f t="shared" si="8"/>
        <v>-0.36585413</v>
      </c>
      <c r="Z27" s="63">
        <f t="shared" si="9"/>
        <v>-0.17117553000000002</v>
      </c>
      <c r="AA27" s="63">
        <f t="shared" si="10"/>
        <v>-7.8337970000000007E-2</v>
      </c>
      <c r="AB27" s="63">
        <f t="shared" si="11"/>
        <v>-0.14191469000000001</v>
      </c>
      <c r="AC27" s="63">
        <f t="shared" si="14"/>
        <v>4.9077129999999997E-2</v>
      </c>
      <c r="AD27" s="63"/>
      <c r="AE27" s="63"/>
      <c r="AF27" s="63"/>
      <c r="AG27" s="63"/>
      <c r="AH27" s="63"/>
      <c r="AI27" s="64"/>
      <c r="AJ27" s="65"/>
      <c r="AK27" s="66">
        <f t="shared" si="15"/>
        <v>4.3005999999999323E-3</v>
      </c>
      <c r="AL27" s="67">
        <f>AK27*1000</f>
        <v>4.3005999999999318</v>
      </c>
    </row>
    <row r="28" spans="1:39" s="206" customFormat="1" ht="26.4" x14ac:dyDescent="0.25">
      <c r="A28" s="45" t="s">
        <v>46</v>
      </c>
      <c r="B28" s="52">
        <v>0</v>
      </c>
      <c r="C28" s="52">
        <v>0</v>
      </c>
      <c r="D28" s="52">
        <v>0</v>
      </c>
      <c r="E28" s="46">
        <f t="shared" si="16"/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-106423.23</v>
      </c>
      <c r="L28" s="52">
        <v>0</v>
      </c>
      <c r="M28" s="46">
        <f t="shared" si="17"/>
        <v>-106423.23</v>
      </c>
      <c r="N28" s="52">
        <v>0</v>
      </c>
      <c r="O28" s="52">
        <v>0</v>
      </c>
      <c r="P28" s="52">
        <v>0</v>
      </c>
      <c r="Q28" s="52">
        <v>-106423.23</v>
      </c>
      <c r="R28" s="33">
        <f t="shared" si="2"/>
        <v>0</v>
      </c>
      <c r="S28" s="33">
        <f t="shared" ref="S28:S37" si="23">D28/1000000</f>
        <v>0</v>
      </c>
      <c r="T28" s="33">
        <f t="shared" si="21"/>
        <v>0</v>
      </c>
      <c r="U28" s="33">
        <f t="shared" si="22"/>
        <v>0</v>
      </c>
      <c r="V28" s="33">
        <f t="shared" ref="V28:V37" si="24">G28/1000000</f>
        <v>0</v>
      </c>
      <c r="W28" s="33">
        <f t="shared" si="13"/>
        <v>0</v>
      </c>
      <c r="X28" s="33">
        <f t="shared" si="20"/>
        <v>0</v>
      </c>
      <c r="Y28" s="33">
        <f t="shared" si="8"/>
        <v>0</v>
      </c>
      <c r="Z28" s="33">
        <f t="shared" si="9"/>
        <v>-0.10642322999999999</v>
      </c>
      <c r="AA28" s="33">
        <f t="shared" si="10"/>
        <v>0</v>
      </c>
      <c r="AB28" s="33">
        <f t="shared" si="11"/>
        <v>0</v>
      </c>
      <c r="AC28" s="33">
        <f t="shared" si="14"/>
        <v>-0.10642322999999999</v>
      </c>
      <c r="AD28" s="33"/>
      <c r="AE28" s="33"/>
      <c r="AF28" s="33"/>
      <c r="AG28" s="33"/>
      <c r="AH28" s="33"/>
      <c r="AI28" s="35"/>
      <c r="AJ28" s="36"/>
      <c r="AK28" s="205"/>
    </row>
    <row r="29" spans="1:39" s="44" customFormat="1" x14ac:dyDescent="0.25">
      <c r="A29" s="37" t="s">
        <v>47</v>
      </c>
      <c r="B29" s="38">
        <v>16531111663.16</v>
      </c>
      <c r="C29" s="38">
        <v>21693527078.75</v>
      </c>
      <c r="D29" s="38">
        <v>17415778741.869999</v>
      </c>
      <c r="E29" s="69">
        <f>F29+G29+H29+I29-E109</f>
        <v>18968839047.850002</v>
      </c>
      <c r="F29" s="38">
        <v>8687342707.7900009</v>
      </c>
      <c r="G29" s="38">
        <v>10928427713.469999</v>
      </c>
      <c r="H29" s="38">
        <v>129570748.93000001</v>
      </c>
      <c r="I29" s="38">
        <v>1063518829.85</v>
      </c>
      <c r="J29" s="38">
        <v>7807749063.0600004</v>
      </c>
      <c r="K29" s="38">
        <v>10911957550.549999</v>
      </c>
      <c r="L29" s="38">
        <v>8690765692.9899998</v>
      </c>
      <c r="M29" s="69">
        <f>N29+O29+P29+Q29-M109</f>
        <v>9390344288.8599987</v>
      </c>
      <c r="N29" s="38">
        <v>4397147391.4099998</v>
      </c>
      <c r="O29" s="38">
        <v>5585690594.3699999</v>
      </c>
      <c r="P29" s="38">
        <v>-172959927.56</v>
      </c>
      <c r="Q29" s="38">
        <v>219062862.40000001</v>
      </c>
      <c r="R29" s="40">
        <f t="shared" si="2"/>
        <v>16531.111663160002</v>
      </c>
      <c r="S29" s="40">
        <f t="shared" si="23"/>
        <v>17415.778741869999</v>
      </c>
      <c r="T29" s="40">
        <f t="shared" si="21"/>
        <v>18968.83904785</v>
      </c>
      <c r="U29" s="40">
        <f t="shared" si="22"/>
        <v>8687.3427077900014</v>
      </c>
      <c r="V29" s="40">
        <f t="shared" si="24"/>
        <v>10928.427713469999</v>
      </c>
      <c r="W29" s="40">
        <f t="shared" si="13"/>
        <v>1193.08957878</v>
      </c>
      <c r="X29" s="40">
        <f t="shared" si="20"/>
        <v>7807.7490630600005</v>
      </c>
      <c r="Y29" s="40">
        <f t="shared" si="8"/>
        <v>8690.7656929900004</v>
      </c>
      <c r="Z29" s="40">
        <f t="shared" si="9"/>
        <v>9390.3442888599984</v>
      </c>
      <c r="AA29" s="40">
        <f t="shared" si="10"/>
        <v>4397.1473914099997</v>
      </c>
      <c r="AB29" s="40">
        <f t="shared" si="11"/>
        <v>5585.6905943700003</v>
      </c>
      <c r="AC29" s="40">
        <f t="shared" si="14"/>
        <v>46.102934840000003</v>
      </c>
      <c r="AD29" s="40">
        <f t="shared" si="19"/>
        <v>47.230635314500752</v>
      </c>
      <c r="AE29" s="40">
        <f t="shared" si="19"/>
        <v>49.901677219268805</v>
      </c>
      <c r="AF29" s="40">
        <f t="shared" si="19"/>
        <v>49.504053807258892</v>
      </c>
      <c r="AG29" s="40">
        <f t="shared" si="19"/>
        <v>50.615562656081778</v>
      </c>
      <c r="AH29" s="40">
        <f t="shared" si="19"/>
        <v>51.111566465185774</v>
      </c>
      <c r="AI29" s="41">
        <f t="shared" si="19"/>
        <v>3.8641637358984227</v>
      </c>
      <c r="AJ29" s="42"/>
      <c r="AK29" s="70">
        <f>X29-Y29-Z29</f>
        <v>-10273.360918789998</v>
      </c>
      <c r="AL29" s="44">
        <f>AK29*1000</f>
        <v>-10273360.918789998</v>
      </c>
    </row>
    <row r="30" spans="1:39" x14ac:dyDescent="0.25">
      <c r="A30" s="45" t="s">
        <v>48</v>
      </c>
      <c r="B30" s="31">
        <v>14308699074.52</v>
      </c>
      <c r="C30" s="31">
        <v>21693527078.75</v>
      </c>
      <c r="D30" s="31">
        <v>14308699074.52</v>
      </c>
      <c r="E30" s="73">
        <f>F30+G30+H30+I30-G109-H109-I109</f>
        <v>19853506126.559998</v>
      </c>
      <c r="F30" s="55">
        <v>8917948097.1399994</v>
      </c>
      <c r="G30" s="55">
        <v>11039813961.049999</v>
      </c>
      <c r="H30" s="55">
        <v>520616674.67000002</v>
      </c>
      <c r="I30" s="55">
        <v>1215148345.8900001</v>
      </c>
      <c r="J30" s="38">
        <v>6882907223.2700005</v>
      </c>
      <c r="K30" s="38">
        <v>10911846826.719999</v>
      </c>
      <c r="L30" s="38">
        <v>6882907223.2700005</v>
      </c>
      <c r="M30" s="73">
        <f>N30+O30+P30+Q30-O109-P109-Q109</f>
        <v>10273250194.960001</v>
      </c>
      <c r="N30" s="31">
        <v>4628322808.2299995</v>
      </c>
      <c r="O30" s="31">
        <v>5695992492.7600002</v>
      </c>
      <c r="P30" s="31">
        <v>217270976.41</v>
      </c>
      <c r="Q30" s="31">
        <v>370260549.31999999</v>
      </c>
      <c r="R30" s="33">
        <f t="shared" si="2"/>
        <v>14308.69907452</v>
      </c>
      <c r="S30" s="33">
        <f t="shared" si="23"/>
        <v>14308.69907452</v>
      </c>
      <c r="T30" s="33">
        <f t="shared" si="21"/>
        <v>19853.506126559998</v>
      </c>
      <c r="U30" s="33">
        <f t="shared" si="22"/>
        <v>8917.9480971399989</v>
      </c>
      <c r="V30" s="33">
        <f t="shared" si="24"/>
        <v>11039.813961049998</v>
      </c>
      <c r="W30" s="33">
        <f t="shared" si="13"/>
        <v>1735.7650205600003</v>
      </c>
      <c r="X30" s="33">
        <f t="shared" si="20"/>
        <v>6882.90722327</v>
      </c>
      <c r="Y30" s="33">
        <f t="shared" si="8"/>
        <v>6882.90722327</v>
      </c>
      <c r="Z30" s="33">
        <f t="shared" si="9"/>
        <v>10273.250194960001</v>
      </c>
      <c r="AA30" s="33">
        <f t="shared" si="10"/>
        <v>4628.3228082299993</v>
      </c>
      <c r="AB30" s="33">
        <f t="shared" si="11"/>
        <v>5695.9924927600005</v>
      </c>
      <c r="AC30" s="33">
        <f t="shared" si="14"/>
        <v>587.53152573</v>
      </c>
      <c r="AD30" s="33">
        <f t="shared" si="19"/>
        <v>48.102956022931764</v>
      </c>
      <c r="AE30" s="33">
        <f t="shared" si="19"/>
        <v>48.102956022931764</v>
      </c>
      <c r="AF30" s="33">
        <f t="shared" si="19"/>
        <v>51.745269220817669</v>
      </c>
      <c r="AG30" s="33">
        <f t="shared" si="19"/>
        <v>51.898965522285451</v>
      </c>
      <c r="AH30" s="33">
        <f t="shared" si="19"/>
        <v>51.59500434387985</v>
      </c>
      <c r="AI30" s="35">
        <f t="shared" si="19"/>
        <v>33.848563530819852</v>
      </c>
      <c r="AJ30" s="36"/>
      <c r="AK30" s="4">
        <f>X30-Y30-Z30</f>
        <v>-10273.250194960001</v>
      </c>
      <c r="AL30" s="3">
        <f>AK30*1000</f>
        <v>-10273250.194960002</v>
      </c>
      <c r="AM30" s="2">
        <f>AL30-K30</f>
        <v>-10922120076.914959</v>
      </c>
    </row>
    <row r="31" spans="1:39" ht="26.4" x14ac:dyDescent="0.25">
      <c r="A31" s="45" t="s">
        <v>49</v>
      </c>
      <c r="B31" s="31">
        <v>2210151950.9699998</v>
      </c>
      <c r="C31" s="31">
        <v>0</v>
      </c>
      <c r="D31" s="31">
        <v>2210151950.9699998</v>
      </c>
      <c r="E31" s="73">
        <f>F31+G31+H31+I31</f>
        <v>0</v>
      </c>
      <c r="F31" s="55">
        <v>0</v>
      </c>
      <c r="G31" s="55">
        <v>0</v>
      </c>
      <c r="H31" s="55">
        <v>0</v>
      </c>
      <c r="I31" s="55">
        <v>0</v>
      </c>
      <c r="J31" s="38">
        <v>909539003.57000005</v>
      </c>
      <c r="K31" s="38">
        <v>0</v>
      </c>
      <c r="L31" s="38">
        <v>909528373.57000005</v>
      </c>
      <c r="M31" s="73">
        <f>N31+O31+P31+Q31</f>
        <v>10630</v>
      </c>
      <c r="N31" s="31">
        <v>0</v>
      </c>
      <c r="O31" s="31">
        <v>0</v>
      </c>
      <c r="P31" s="31">
        <v>0</v>
      </c>
      <c r="Q31" s="31">
        <v>10630</v>
      </c>
      <c r="R31" s="33">
        <f>B31/1000000</f>
        <v>2210.1519509699997</v>
      </c>
      <c r="S31" s="33">
        <f t="shared" si="23"/>
        <v>2210.1519509699997</v>
      </c>
      <c r="T31" s="33">
        <f t="shared" si="21"/>
        <v>0</v>
      </c>
      <c r="U31" s="33">
        <f t="shared" si="22"/>
        <v>0</v>
      </c>
      <c r="V31" s="33">
        <f t="shared" si="24"/>
        <v>0</v>
      </c>
      <c r="W31" s="33">
        <f t="shared" si="13"/>
        <v>0</v>
      </c>
      <c r="X31" s="33">
        <f t="shared" si="20"/>
        <v>909.53900357000009</v>
      </c>
      <c r="Y31" s="33">
        <f t="shared" si="8"/>
        <v>909.5283735700001</v>
      </c>
      <c r="Z31" s="33">
        <f t="shared" si="9"/>
        <v>1.0630000000000001E-2</v>
      </c>
      <c r="AA31" s="33">
        <f t="shared" si="10"/>
        <v>0</v>
      </c>
      <c r="AB31" s="33">
        <f t="shared" si="11"/>
        <v>0</v>
      </c>
      <c r="AC31" s="33">
        <f t="shared" si="14"/>
        <v>1.0630000000000001E-2</v>
      </c>
      <c r="AD31" s="33">
        <f t="shared" ref="AD31:AD32" si="25">X31/R31%</f>
        <v>41.152781516710569</v>
      </c>
      <c r="AE31" s="33">
        <f t="shared" ref="AE31" si="26">Y31/S31%</f>
        <v>41.152300554304553</v>
      </c>
      <c r="AF31" s="59" t="s">
        <v>30</v>
      </c>
      <c r="AG31" s="59" t="s">
        <v>30</v>
      </c>
      <c r="AH31" s="59" t="s">
        <v>30</v>
      </c>
      <c r="AI31" s="54" t="s">
        <v>30</v>
      </c>
      <c r="AJ31" s="36"/>
      <c r="AK31" s="4">
        <f>X31-Y31-Z31</f>
        <v>-8.0768725041480138E-15</v>
      </c>
      <c r="AL31" s="3">
        <f t="shared" ref="AL31:AL37" si="27">AK31*1000</f>
        <v>-8.0768725041480138E-12</v>
      </c>
    </row>
    <row r="32" spans="1:39" s="74" customFormat="1" ht="26.4" x14ac:dyDescent="0.25">
      <c r="A32" s="45" t="s">
        <v>50</v>
      </c>
      <c r="B32" s="31">
        <v>1121078</v>
      </c>
      <c r="C32" s="31">
        <v>0</v>
      </c>
      <c r="D32" s="31">
        <v>0</v>
      </c>
      <c r="E32" s="73">
        <f>F32+G32+H32+I32</f>
        <v>1121078</v>
      </c>
      <c r="F32" s="55">
        <v>0</v>
      </c>
      <c r="G32" s="55">
        <v>1121078</v>
      </c>
      <c r="H32" s="55">
        <v>0</v>
      </c>
      <c r="I32" s="55">
        <v>0</v>
      </c>
      <c r="J32" s="31">
        <v>1641078</v>
      </c>
      <c r="K32" s="31">
        <v>0</v>
      </c>
      <c r="L32" s="31">
        <v>0</v>
      </c>
      <c r="M32" s="73">
        <f>N32+O32+P32+Q32</f>
        <v>1641078</v>
      </c>
      <c r="N32" s="31">
        <v>0</v>
      </c>
      <c r="O32" s="31">
        <v>1641078</v>
      </c>
      <c r="P32" s="31">
        <v>0</v>
      </c>
      <c r="Q32" s="31">
        <v>0</v>
      </c>
      <c r="R32" s="34">
        <f>B32/1000000</f>
        <v>1.121078</v>
      </c>
      <c r="S32" s="34">
        <f t="shared" si="23"/>
        <v>0</v>
      </c>
      <c r="T32" s="34">
        <f t="shared" si="21"/>
        <v>1.121078</v>
      </c>
      <c r="U32" s="34">
        <f t="shared" si="22"/>
        <v>0</v>
      </c>
      <c r="V32" s="34">
        <f t="shared" si="24"/>
        <v>1.121078</v>
      </c>
      <c r="W32" s="33">
        <f t="shared" si="13"/>
        <v>0</v>
      </c>
      <c r="X32" s="34">
        <f>J32/1000000</f>
        <v>1.641078</v>
      </c>
      <c r="Y32" s="34">
        <f t="shared" si="8"/>
        <v>0</v>
      </c>
      <c r="Z32" s="34">
        <f t="shared" si="9"/>
        <v>1.641078</v>
      </c>
      <c r="AA32" s="34">
        <f t="shared" si="10"/>
        <v>0</v>
      </c>
      <c r="AB32" s="34">
        <f t="shared" si="11"/>
        <v>1.641078</v>
      </c>
      <c r="AC32" s="33">
        <f t="shared" si="14"/>
        <v>0</v>
      </c>
      <c r="AD32" s="33">
        <f t="shared" si="25"/>
        <v>146.38392689893121</v>
      </c>
      <c r="AE32" s="59" t="s">
        <v>30</v>
      </c>
      <c r="AF32" s="33">
        <f t="shared" ref="AF32" si="28">Z32/T32%</f>
        <v>146.38392689893121</v>
      </c>
      <c r="AG32" s="59" t="s">
        <v>30</v>
      </c>
      <c r="AH32" s="33">
        <f t="shared" ref="AH32" si="29">AB32/V32%</f>
        <v>146.38392689893121</v>
      </c>
      <c r="AI32" s="35"/>
      <c r="AJ32" s="36"/>
      <c r="AK32" s="4">
        <f>X32-Y32-Z32</f>
        <v>0</v>
      </c>
      <c r="AL32" s="3">
        <f t="shared" si="27"/>
        <v>0</v>
      </c>
    </row>
    <row r="33" spans="1:39" x14ac:dyDescent="0.25">
      <c r="A33" s="45" t="s">
        <v>51</v>
      </c>
      <c r="B33" s="31">
        <v>67213214.150000006</v>
      </c>
      <c r="C33" s="31">
        <v>0</v>
      </c>
      <c r="D33" s="31">
        <v>50607500.920000002</v>
      </c>
      <c r="E33" s="73">
        <f>F33+G33+H33+I33</f>
        <v>16605713.23</v>
      </c>
      <c r="F33" s="31">
        <v>6649585.4000000004</v>
      </c>
      <c r="G33" s="31">
        <v>8445827.3300000001</v>
      </c>
      <c r="H33" s="31">
        <v>109000</v>
      </c>
      <c r="I33" s="31">
        <v>1401300.5</v>
      </c>
      <c r="J33" s="55">
        <v>45209572.039999999</v>
      </c>
      <c r="K33" s="55">
        <v>0</v>
      </c>
      <c r="L33" s="55">
        <v>28345137.920000002</v>
      </c>
      <c r="M33" s="73">
        <f>N33+O33+P33+Q33</f>
        <v>16864434.120000001</v>
      </c>
      <c r="N33" s="55">
        <v>6099585.4000000004</v>
      </c>
      <c r="O33" s="55">
        <v>8455827.3300000001</v>
      </c>
      <c r="P33" s="55">
        <v>924021.77</v>
      </c>
      <c r="Q33" s="55">
        <v>1384999.62</v>
      </c>
      <c r="R33" s="33">
        <f t="shared" si="2"/>
        <v>67.213214149999999</v>
      </c>
      <c r="S33" s="33">
        <f t="shared" si="23"/>
        <v>50.60750092</v>
      </c>
      <c r="T33" s="33">
        <f t="shared" si="21"/>
        <v>16.605713229999999</v>
      </c>
      <c r="U33" s="33">
        <f t="shared" si="22"/>
        <v>6.6495854000000003</v>
      </c>
      <c r="V33" s="33">
        <f t="shared" si="24"/>
        <v>8.4458273300000002</v>
      </c>
      <c r="W33" s="33">
        <f t="shared" si="13"/>
        <v>1.5103005</v>
      </c>
      <c r="X33" s="33">
        <f t="shared" si="20"/>
        <v>45.209572039999998</v>
      </c>
      <c r="Y33" s="33">
        <f t="shared" si="8"/>
        <v>28.345137920000003</v>
      </c>
      <c r="Z33" s="33">
        <f t="shared" si="9"/>
        <v>16.864434120000002</v>
      </c>
      <c r="AA33" s="33">
        <f t="shared" si="10"/>
        <v>6.0995854000000005</v>
      </c>
      <c r="AB33" s="33">
        <f t="shared" si="11"/>
        <v>8.45582733</v>
      </c>
      <c r="AC33" s="33">
        <f t="shared" si="14"/>
        <v>2.3090213900000003</v>
      </c>
      <c r="AD33" s="33">
        <f t="shared" si="19"/>
        <v>67.262922346051795</v>
      </c>
      <c r="AE33" s="33">
        <f>Y33/S33%</f>
        <v>56.009756270731103</v>
      </c>
      <c r="AF33" s="33">
        <f>Z33/T33%</f>
        <v>101.55802335266513</v>
      </c>
      <c r="AG33" s="33">
        <f>AA33/U33%</f>
        <v>91.728807633630808</v>
      </c>
      <c r="AH33" s="33">
        <f>AB33/V33%</f>
        <v>100.11840166284811</v>
      </c>
      <c r="AI33" s="35">
        <f>AC33/W33%</f>
        <v>152.88489873372882</v>
      </c>
      <c r="AJ33" s="36"/>
      <c r="AK33" s="4">
        <f t="shared" si="15"/>
        <v>0</v>
      </c>
      <c r="AL33" s="3">
        <f t="shared" si="27"/>
        <v>0</v>
      </c>
    </row>
    <row r="34" spans="1:39" ht="92.4" hidden="1" x14ac:dyDescent="0.25">
      <c r="A34" s="45" t="s">
        <v>52</v>
      </c>
      <c r="B34" s="31"/>
      <c r="C34" s="31"/>
      <c r="D34" s="31"/>
      <c r="E34" s="73">
        <f>F34+G34+H34+I34</f>
        <v>0</v>
      </c>
      <c r="F34" s="31"/>
      <c r="G34" s="31"/>
      <c r="H34" s="31"/>
      <c r="I34" s="31"/>
      <c r="J34" s="55"/>
      <c r="K34" s="55"/>
      <c r="L34" s="55"/>
      <c r="M34" s="73">
        <f>N34+O34+P34+Q34</f>
        <v>0</v>
      </c>
      <c r="N34" s="55"/>
      <c r="O34" s="55"/>
      <c r="P34" s="55"/>
      <c r="Q34" s="55"/>
      <c r="R34" s="33">
        <f t="shared" si="2"/>
        <v>0</v>
      </c>
      <c r="S34" s="33">
        <f t="shared" si="23"/>
        <v>0</v>
      </c>
      <c r="T34" s="33">
        <f t="shared" si="21"/>
        <v>0</v>
      </c>
      <c r="U34" s="33">
        <f t="shared" si="22"/>
        <v>0</v>
      </c>
      <c r="V34" s="33">
        <f t="shared" si="24"/>
        <v>0</v>
      </c>
      <c r="W34" s="33">
        <f t="shared" si="13"/>
        <v>0</v>
      </c>
      <c r="X34" s="33">
        <f t="shared" si="20"/>
        <v>0</v>
      </c>
      <c r="Y34" s="33">
        <f t="shared" si="8"/>
        <v>0</v>
      </c>
      <c r="Z34" s="33">
        <f t="shared" si="9"/>
        <v>0</v>
      </c>
      <c r="AA34" s="33">
        <f t="shared" si="10"/>
        <v>0</v>
      </c>
      <c r="AB34" s="33">
        <f t="shared" si="11"/>
        <v>0</v>
      </c>
      <c r="AC34" s="33">
        <f t="shared" si="14"/>
        <v>0</v>
      </c>
      <c r="AD34" s="59" t="s">
        <v>30</v>
      </c>
      <c r="AE34" s="59" t="s">
        <v>30</v>
      </c>
      <c r="AF34" s="59" t="s">
        <v>30</v>
      </c>
      <c r="AG34" s="59" t="s">
        <v>30</v>
      </c>
      <c r="AH34" s="59" t="s">
        <v>30</v>
      </c>
      <c r="AI34" s="54" t="s">
        <v>30</v>
      </c>
      <c r="AJ34" s="75"/>
      <c r="AK34" s="4"/>
      <c r="AM34" s="3">
        <f>(S29-S35-S36)*1000</f>
        <v>16569458.526409999</v>
      </c>
    </row>
    <row r="35" spans="1:39" ht="13.95" customHeight="1" x14ac:dyDescent="0.25">
      <c r="A35" s="45" t="s">
        <v>231</v>
      </c>
      <c r="B35" s="31">
        <v>28684184.780000001</v>
      </c>
      <c r="C35" s="31">
        <v>1460773582.1099999</v>
      </c>
      <c r="D35" s="31">
        <v>908458725.89999998</v>
      </c>
      <c r="E35" s="73">
        <f>F35+G35+H35+H36+I35+I36</f>
        <v>19892389.050000042</v>
      </c>
      <c r="F35" s="31">
        <v>2331490.94</v>
      </c>
      <c r="G35" s="31">
        <v>561746640.38999999</v>
      </c>
      <c r="H35" s="31">
        <v>323974.03000000003</v>
      </c>
      <c r="I35" s="31">
        <v>16596935.630000001</v>
      </c>
      <c r="J35" s="31">
        <v>30590696.620000001</v>
      </c>
      <c r="K35" s="31">
        <v>1481890344.4100001</v>
      </c>
      <c r="L35" s="31">
        <v>932123468.66999996</v>
      </c>
      <c r="M35" s="73">
        <f>N35+O35+P35+P36+Q35+Q36</f>
        <v>19688420.420000046</v>
      </c>
      <c r="N35" s="31">
        <v>2331523.48</v>
      </c>
      <c r="O35" s="31">
        <v>561105139.22000003</v>
      </c>
      <c r="P35" s="31">
        <v>323974.03000000003</v>
      </c>
      <c r="Q35" s="31">
        <v>16596935.630000001</v>
      </c>
      <c r="R35" s="33">
        <f t="shared" si="2"/>
        <v>28.684184780000002</v>
      </c>
      <c r="S35" s="33">
        <f t="shared" si="23"/>
        <v>908.45872589999999</v>
      </c>
      <c r="T35" s="33">
        <f t="shared" si="21"/>
        <v>19.892389050000041</v>
      </c>
      <c r="U35" s="33">
        <f t="shared" si="22"/>
        <v>2.3314909400000001</v>
      </c>
      <c r="V35" s="33">
        <f t="shared" si="24"/>
        <v>561.74664039000004</v>
      </c>
      <c r="W35" s="33">
        <f t="shared" si="13"/>
        <v>16.92090966</v>
      </c>
      <c r="X35" s="33">
        <f t="shared" si="20"/>
        <v>30.590696620000003</v>
      </c>
      <c r="Y35" s="33">
        <f t="shared" si="8"/>
        <v>932.12346866999997</v>
      </c>
      <c r="Z35" s="33">
        <f t="shared" si="9"/>
        <v>19.688420420000046</v>
      </c>
      <c r="AA35" s="33">
        <f t="shared" si="10"/>
        <v>2.33152348</v>
      </c>
      <c r="AB35" s="33">
        <f t="shared" si="11"/>
        <v>561.10513922000007</v>
      </c>
      <c r="AC35" s="33">
        <f t="shared" si="14"/>
        <v>16.92090966</v>
      </c>
      <c r="AD35" s="33">
        <f t="shared" si="19"/>
        <v>106.64656100433891</v>
      </c>
      <c r="AE35" s="33">
        <f t="shared" si="19"/>
        <v>102.60493317916625</v>
      </c>
      <c r="AF35" s="33">
        <f>Z35/T35%</f>
        <v>98.974639851013791</v>
      </c>
      <c r="AG35" s="33">
        <f>AA35/U35%</f>
        <v>100.00139567344834</v>
      </c>
      <c r="AH35" s="33">
        <f>AB35/V35%</f>
        <v>99.885802402030464</v>
      </c>
      <c r="AI35" s="35">
        <f>AC35/W35%</f>
        <v>100</v>
      </c>
      <c r="AJ35" s="36"/>
      <c r="AK35" s="4">
        <f t="shared" si="15"/>
        <v>-921.22119247000001</v>
      </c>
      <c r="AL35" s="3">
        <f t="shared" si="27"/>
        <v>-921221.19247000001</v>
      </c>
    </row>
    <row r="36" spans="1:39" x14ac:dyDescent="0.25">
      <c r="A36" s="45" t="s">
        <v>232</v>
      </c>
      <c r="B36" s="31">
        <v>-84757839.260000005</v>
      </c>
      <c r="C36" s="31">
        <v>-1460773582.1099999</v>
      </c>
      <c r="D36" s="31">
        <v>-62138510.439999998</v>
      </c>
      <c r="E36" s="73">
        <f>F36+G36</f>
        <v>-922286258.99000001</v>
      </c>
      <c r="F36" s="31">
        <v>-239586465.69</v>
      </c>
      <c r="G36" s="31">
        <v>-682699793.29999995</v>
      </c>
      <c r="H36" s="31">
        <v>-391478899.76999998</v>
      </c>
      <c r="I36" s="31">
        <v>-169627752.16999999</v>
      </c>
      <c r="J36" s="31">
        <v>-62138510.439999998</v>
      </c>
      <c r="K36" s="31">
        <v>-1481779620.5799999</v>
      </c>
      <c r="L36" s="31">
        <v>-62138510.439999998</v>
      </c>
      <c r="M36" s="73">
        <f>N36+O36</f>
        <v>-921110468.6400001</v>
      </c>
      <c r="N36" s="31">
        <v>-239606525.69999999</v>
      </c>
      <c r="O36" s="31">
        <v>-681503942.94000006</v>
      </c>
      <c r="P36" s="31">
        <v>-391478899.76999998</v>
      </c>
      <c r="Q36" s="31">
        <v>-169190252.16999999</v>
      </c>
      <c r="R36" s="33">
        <f t="shared" si="2"/>
        <v>-84.757839260000011</v>
      </c>
      <c r="S36" s="33">
        <f t="shared" si="23"/>
        <v>-62.138510439999997</v>
      </c>
      <c r="T36" s="33">
        <f t="shared" si="21"/>
        <v>-922.28625898999996</v>
      </c>
      <c r="U36" s="33">
        <f t="shared" si="22"/>
        <v>-239.58646569000001</v>
      </c>
      <c r="V36" s="33">
        <f t="shared" si="24"/>
        <v>-682.6997932999999</v>
      </c>
      <c r="W36" s="33">
        <f t="shared" si="13"/>
        <v>-561.10665193999989</v>
      </c>
      <c r="X36" s="33">
        <f t="shared" si="20"/>
        <v>-62.138510439999997</v>
      </c>
      <c r="Y36" s="33">
        <f t="shared" si="8"/>
        <v>-62.138510439999997</v>
      </c>
      <c r="Z36" s="33">
        <f t="shared" si="9"/>
        <v>-921.11046864000014</v>
      </c>
      <c r="AA36" s="33">
        <f t="shared" si="10"/>
        <v>-239.60652569999999</v>
      </c>
      <c r="AB36" s="33">
        <f t="shared" si="11"/>
        <v>-681.50394294</v>
      </c>
      <c r="AC36" s="33">
        <f t="shared" si="14"/>
        <v>-560.66915193999989</v>
      </c>
      <c r="AD36" s="33">
        <f t="shared" si="19"/>
        <v>73.312994977828779</v>
      </c>
      <c r="AE36" s="33">
        <f t="shared" si="19"/>
        <v>100</v>
      </c>
      <c r="AF36" s="33">
        <f t="shared" si="19"/>
        <v>99.87251351318109</v>
      </c>
      <c r="AG36" s="33">
        <f t="shared" si="19"/>
        <v>100.00837276427205</v>
      </c>
      <c r="AH36" s="33">
        <f t="shared" si="19"/>
        <v>99.824835107358183</v>
      </c>
      <c r="AI36" s="35">
        <f t="shared" si="19"/>
        <v>99.92202908333249</v>
      </c>
      <c r="AJ36" s="36"/>
      <c r="AK36" s="4">
        <f t="shared" si="15"/>
        <v>921.11046864000014</v>
      </c>
      <c r="AL36" s="3">
        <f t="shared" si="27"/>
        <v>921110.46864000009</v>
      </c>
    </row>
    <row r="37" spans="1:39" s="44" customFormat="1" ht="13.8" thickBot="1" x14ac:dyDescent="0.35">
      <c r="A37" s="76" t="s">
        <v>53</v>
      </c>
      <c r="B37" s="77">
        <f t="shared" ref="B37:D37" si="30">B12+B13+B14+B15+B16+B17+B18+B19+B20+B21+B22+B23+B24+B25+B26+B28+B29</f>
        <v>76810578075.479996</v>
      </c>
      <c r="C37" s="77">
        <f t="shared" si="30"/>
        <v>21694238545.419998</v>
      </c>
      <c r="D37" s="77">
        <f t="shared" si="30"/>
        <v>64863827997.610001</v>
      </c>
      <c r="E37" s="77">
        <f>E12+E13+E14+E15+E16+E17+E18+E19+E20+E21+E22+E23+E24+E25+E26+E28+E29</f>
        <v>31800967671.100002</v>
      </c>
      <c r="F37" s="77">
        <f t="shared" ref="F37:L37" si="31">F12+F13+F14+F15+F16+F17+F18+F19+F20+F21+F22+F23+F24+F25+F26+F28+F29</f>
        <v>18100569312.130001</v>
      </c>
      <c r="G37" s="77">
        <f t="shared" si="31"/>
        <v>13402537418.4</v>
      </c>
      <c r="H37" s="77">
        <f t="shared" si="31"/>
        <v>769459421.28999996</v>
      </c>
      <c r="I37" s="77">
        <f t="shared" si="31"/>
        <v>1368422471.47</v>
      </c>
      <c r="J37" s="77">
        <f t="shared" si="31"/>
        <v>35046007078.519997</v>
      </c>
      <c r="K37" s="77">
        <f t="shared" si="31"/>
        <v>10911846826.719999</v>
      </c>
      <c r="L37" s="77">
        <f t="shared" si="31"/>
        <v>29959450461.230003</v>
      </c>
      <c r="M37" s="77">
        <f>M12+M13+M14+M15+M16+M17+M18+M19+M20+M21+M22+M23+M24+M25+M26+M28+M29</f>
        <v>15359806812.25</v>
      </c>
      <c r="N37" s="77">
        <f t="shared" ref="N37:Q37" si="32">N12+N13+N14+N15+N16+N17+N18+N19+N20+N21+N22+N23+N24+N25+N26+N28+N29</f>
        <v>8793698762.6000004</v>
      </c>
      <c r="O37" s="77">
        <f t="shared" si="32"/>
        <v>6786261687.2200003</v>
      </c>
      <c r="P37" s="77">
        <f t="shared" si="32"/>
        <v>82351595.009999961</v>
      </c>
      <c r="Q37" s="77">
        <f t="shared" si="32"/>
        <v>336091399.18000001</v>
      </c>
      <c r="R37" s="78">
        <f t="shared" si="2"/>
        <v>76810.578075479993</v>
      </c>
      <c r="S37" s="78">
        <f t="shared" si="23"/>
        <v>64863.827997610002</v>
      </c>
      <c r="T37" s="78">
        <f t="shared" si="21"/>
        <v>31800.967671100003</v>
      </c>
      <c r="U37" s="78">
        <f t="shared" si="22"/>
        <v>18100.569312130003</v>
      </c>
      <c r="V37" s="78">
        <f t="shared" si="24"/>
        <v>13402.537418399999</v>
      </c>
      <c r="W37" s="78">
        <f t="shared" si="13"/>
        <v>2137.88189276</v>
      </c>
      <c r="X37" s="78">
        <f t="shared" si="20"/>
        <v>35046.007078519993</v>
      </c>
      <c r="Y37" s="78">
        <f t="shared" si="8"/>
        <v>29959.450461230004</v>
      </c>
      <c r="Z37" s="78">
        <f t="shared" si="9"/>
        <v>15359.806812250001</v>
      </c>
      <c r="AA37" s="78">
        <f t="shared" si="10"/>
        <v>8793.6987626000009</v>
      </c>
      <c r="AB37" s="78">
        <f t="shared" si="11"/>
        <v>6786.2616872200006</v>
      </c>
      <c r="AC37" s="78">
        <f t="shared" si="14"/>
        <v>418.44299418999992</v>
      </c>
      <c r="AD37" s="78">
        <f t="shared" si="19"/>
        <v>45.626537329378102</v>
      </c>
      <c r="AE37" s="78">
        <f t="shared" si="19"/>
        <v>46.188224448199243</v>
      </c>
      <c r="AF37" s="78">
        <f t="shared" si="19"/>
        <v>48.299809525005877</v>
      </c>
      <c r="AG37" s="78">
        <f t="shared" si="19"/>
        <v>48.582442966072612</v>
      </c>
      <c r="AH37" s="78">
        <f t="shared" si="19"/>
        <v>50.634155871882264</v>
      </c>
      <c r="AI37" s="79">
        <f t="shared" si="19"/>
        <v>19.572783492253215</v>
      </c>
      <c r="AJ37" s="80"/>
      <c r="AK37" s="4">
        <f>X37-Y37-Z37</f>
        <v>-10273.250194960012</v>
      </c>
      <c r="AL37" s="3">
        <f t="shared" si="27"/>
        <v>-10273250.194960011</v>
      </c>
      <c r="AM37" s="44">
        <f>X37-R37</f>
        <v>-41764.570996959999</v>
      </c>
    </row>
    <row r="38" spans="1:39" s="71" customFormat="1" ht="13.8" hidden="1" thickTop="1" x14ac:dyDescent="0.3">
      <c r="A38" s="81" t="s">
        <v>54</v>
      </c>
      <c r="B38" s="82">
        <f t="shared" ref="B38:Q38" si="33">B37-B10</f>
        <v>0</v>
      </c>
      <c r="C38" s="82">
        <f t="shared" si="33"/>
        <v>0</v>
      </c>
      <c r="D38" s="82">
        <f t="shared" si="33"/>
        <v>0</v>
      </c>
      <c r="E38" s="82">
        <f t="shared" si="33"/>
        <v>0</v>
      </c>
      <c r="F38" s="82">
        <f t="shared" si="33"/>
        <v>0</v>
      </c>
      <c r="G38" s="82">
        <f t="shared" si="33"/>
        <v>0</v>
      </c>
      <c r="H38" s="82">
        <f t="shared" si="33"/>
        <v>0</v>
      </c>
      <c r="I38" s="82">
        <f t="shared" si="33"/>
        <v>0</v>
      </c>
      <c r="J38" s="82">
        <f t="shared" si="33"/>
        <v>0</v>
      </c>
      <c r="K38" s="82">
        <f t="shared" si="33"/>
        <v>0</v>
      </c>
      <c r="L38" s="82">
        <f t="shared" si="33"/>
        <v>0</v>
      </c>
      <c r="M38" s="82">
        <f t="shared" si="33"/>
        <v>0</v>
      </c>
      <c r="N38" s="82">
        <f t="shared" si="33"/>
        <v>0</v>
      </c>
      <c r="O38" s="82">
        <f t="shared" si="33"/>
        <v>0</v>
      </c>
      <c r="P38" s="82">
        <f t="shared" si="33"/>
        <v>0</v>
      </c>
      <c r="Q38" s="82">
        <f t="shared" si="33"/>
        <v>0</v>
      </c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4"/>
      <c r="AJ38" s="85"/>
    </row>
    <row r="39" spans="1:39" s="71" customFormat="1" hidden="1" x14ac:dyDescent="0.3">
      <c r="A39" s="86" t="s">
        <v>55</v>
      </c>
      <c r="B39" s="87">
        <f>B30+B31+B32+B33+B34+B35+B36</f>
        <v>16531111663.16</v>
      </c>
      <c r="C39" s="87">
        <f t="shared" ref="C39:AC39" si="34">C30+C31+C32+C33+C34+C35+C36</f>
        <v>21693527078.75</v>
      </c>
      <c r="D39" s="87">
        <f t="shared" si="34"/>
        <v>17415778741.870003</v>
      </c>
      <c r="E39" s="87">
        <f t="shared" si="34"/>
        <v>18968839047.849995</v>
      </c>
      <c r="F39" s="87">
        <f t="shared" si="34"/>
        <v>8687342707.789999</v>
      </c>
      <c r="G39" s="87">
        <f t="shared" si="34"/>
        <v>10928427713.469999</v>
      </c>
      <c r="H39" s="87">
        <f t="shared" si="34"/>
        <v>129570748.93000001</v>
      </c>
      <c r="I39" s="87">
        <f t="shared" ref="I39" si="35">I30+I31+I32+I33+I34+I35+I36</f>
        <v>1063518829.8500003</v>
      </c>
      <c r="J39" s="87">
        <f t="shared" si="34"/>
        <v>7807749063.0600004</v>
      </c>
      <c r="K39" s="87">
        <f t="shared" si="34"/>
        <v>10911957550.549999</v>
      </c>
      <c r="L39" s="87">
        <f t="shared" si="34"/>
        <v>8690765692.9899998</v>
      </c>
      <c r="M39" s="87">
        <f t="shared" si="34"/>
        <v>9390344288.8600025</v>
      </c>
      <c r="N39" s="87">
        <f t="shared" si="34"/>
        <v>4397147391.4099989</v>
      </c>
      <c r="O39" s="87">
        <f t="shared" si="34"/>
        <v>5585690594.3700008</v>
      </c>
      <c r="P39" s="87">
        <f t="shared" si="34"/>
        <v>-172959927.55999997</v>
      </c>
      <c r="Q39" s="87">
        <f t="shared" ref="Q39" si="36">Q30+Q31+Q32+Q33+Q34+Q35+Q36</f>
        <v>219062862.40000001</v>
      </c>
      <c r="R39" s="87">
        <f t="shared" si="34"/>
        <v>16531.111663159998</v>
      </c>
      <c r="S39" s="87">
        <f t="shared" si="34"/>
        <v>17415.778741869999</v>
      </c>
      <c r="T39" s="87">
        <f t="shared" si="34"/>
        <v>18968.83904785</v>
      </c>
      <c r="U39" s="87">
        <f t="shared" si="34"/>
        <v>8687.3427077899996</v>
      </c>
      <c r="V39" s="87">
        <f t="shared" si="34"/>
        <v>10928.427713469999</v>
      </c>
      <c r="W39" s="87">
        <f t="shared" si="34"/>
        <v>1193.0895787800005</v>
      </c>
      <c r="X39" s="87">
        <f t="shared" si="34"/>
        <v>7807.7490630600005</v>
      </c>
      <c r="Y39" s="87">
        <f t="shared" si="34"/>
        <v>8690.7656929900004</v>
      </c>
      <c r="Z39" s="87">
        <f t="shared" si="34"/>
        <v>9390.3442888600021</v>
      </c>
      <c r="AA39" s="87">
        <f t="shared" si="34"/>
        <v>4397.1473914099997</v>
      </c>
      <c r="AB39" s="87">
        <f t="shared" si="34"/>
        <v>5585.6905943699994</v>
      </c>
      <c r="AC39" s="87">
        <f t="shared" si="34"/>
        <v>46.102934840000103</v>
      </c>
      <c r="AD39" s="88"/>
      <c r="AE39" s="88"/>
      <c r="AF39" s="88"/>
      <c r="AG39" s="88"/>
      <c r="AH39" s="88"/>
      <c r="AI39" s="88"/>
      <c r="AJ39" s="85"/>
    </row>
    <row r="40" spans="1:39" s="71" customFormat="1" hidden="1" x14ac:dyDescent="0.3">
      <c r="A40" s="89" t="s">
        <v>56</v>
      </c>
      <c r="B40" s="90">
        <f t="shared" ref="B40:AC40" si="37">B39-B29</f>
        <v>0</v>
      </c>
      <c r="C40" s="90">
        <f t="shared" si="37"/>
        <v>0</v>
      </c>
      <c r="D40" s="90">
        <f t="shared" si="37"/>
        <v>0</v>
      </c>
      <c r="E40" s="90">
        <f t="shared" si="37"/>
        <v>0</v>
      </c>
      <c r="F40" s="90">
        <f t="shared" si="37"/>
        <v>0</v>
      </c>
      <c r="G40" s="90">
        <f t="shared" si="37"/>
        <v>0</v>
      </c>
      <c r="H40" s="90">
        <f t="shared" si="37"/>
        <v>0</v>
      </c>
      <c r="I40" s="90">
        <f t="shared" si="37"/>
        <v>0</v>
      </c>
      <c r="J40" s="90">
        <f t="shared" si="37"/>
        <v>0</v>
      </c>
      <c r="K40" s="90">
        <f t="shared" si="37"/>
        <v>0</v>
      </c>
      <c r="L40" s="90">
        <f t="shared" si="37"/>
        <v>0</v>
      </c>
      <c r="M40" s="90">
        <f t="shared" si="37"/>
        <v>0</v>
      </c>
      <c r="N40" s="90">
        <f t="shared" si="37"/>
        <v>0</v>
      </c>
      <c r="O40" s="90">
        <f t="shared" si="37"/>
        <v>0</v>
      </c>
      <c r="P40" s="90">
        <f t="shared" si="37"/>
        <v>0</v>
      </c>
      <c r="Q40" s="90">
        <f t="shared" si="37"/>
        <v>0</v>
      </c>
      <c r="R40" s="91">
        <f t="shared" si="37"/>
        <v>0</v>
      </c>
      <c r="S40" s="91">
        <f t="shared" si="37"/>
        <v>0</v>
      </c>
      <c r="T40" s="91">
        <f t="shared" si="37"/>
        <v>0</v>
      </c>
      <c r="U40" s="91">
        <f t="shared" si="37"/>
        <v>0</v>
      </c>
      <c r="V40" s="91">
        <f t="shared" si="37"/>
        <v>0</v>
      </c>
      <c r="W40" s="91">
        <f t="shared" si="37"/>
        <v>0</v>
      </c>
      <c r="X40" s="91">
        <f t="shared" si="37"/>
        <v>0</v>
      </c>
      <c r="Y40" s="91">
        <f t="shared" si="37"/>
        <v>0</v>
      </c>
      <c r="Z40" s="91">
        <f t="shared" si="37"/>
        <v>0</v>
      </c>
      <c r="AA40" s="91">
        <f t="shared" si="37"/>
        <v>0</v>
      </c>
      <c r="AB40" s="91">
        <f t="shared" si="37"/>
        <v>0</v>
      </c>
      <c r="AC40" s="91">
        <f t="shared" si="37"/>
        <v>9.9475983006414026E-14</v>
      </c>
      <c r="AD40" s="85"/>
      <c r="AE40" s="85"/>
      <c r="AF40" s="85"/>
      <c r="AG40" s="85"/>
      <c r="AH40" s="85"/>
      <c r="AI40" s="85"/>
      <c r="AJ40" s="85"/>
    </row>
    <row r="41" spans="1:39" s="71" customFormat="1" hidden="1" x14ac:dyDescent="0.3">
      <c r="A41" s="89"/>
      <c r="B41" s="85"/>
      <c r="C41" s="85"/>
      <c r="D41" s="90"/>
      <c r="E41" s="90"/>
      <c r="F41" s="85"/>
      <c r="G41" s="85"/>
      <c r="H41" s="85"/>
      <c r="I41" s="85"/>
      <c r="J41" s="85"/>
      <c r="K41" s="85"/>
      <c r="L41" s="85"/>
      <c r="M41" s="90"/>
      <c r="N41" s="90"/>
      <c r="O41" s="90"/>
      <c r="P41" s="90"/>
      <c r="Q41" s="90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</row>
    <row r="42" spans="1:39" s="71" customFormat="1" ht="40.200000000000003" hidden="1" thickBot="1" x14ac:dyDescent="0.35">
      <c r="A42" s="89" t="s">
        <v>57</v>
      </c>
      <c r="B42" s="85"/>
      <c r="C42" s="85"/>
      <c r="D42" s="85"/>
      <c r="E42" s="92">
        <f>G109-H30-I30</f>
        <v>1251818.6699998379</v>
      </c>
      <c r="F42" s="85"/>
      <c r="G42" s="85"/>
      <c r="H42" s="85"/>
      <c r="I42" s="85"/>
      <c r="J42" s="85"/>
      <c r="K42" s="85"/>
      <c r="L42" s="85"/>
      <c r="M42" s="92">
        <f>O109-P30-Q30</f>
        <v>81125.000000059605</v>
      </c>
      <c r="N42" s="85"/>
      <c r="O42" s="85"/>
      <c r="P42" s="85"/>
      <c r="Q42" s="85"/>
      <c r="R42" s="85"/>
      <c r="S42" s="85"/>
      <c r="T42" s="93">
        <f>V109-W30</f>
        <v>1.2518186699996932</v>
      </c>
      <c r="U42" s="68"/>
      <c r="V42" s="68"/>
      <c r="W42" s="68"/>
      <c r="X42" s="68"/>
      <c r="Y42" s="68"/>
      <c r="Z42" s="93">
        <f>AB109-AC30</f>
        <v>8.1125000000042746E-2</v>
      </c>
      <c r="AA42" s="85"/>
      <c r="AB42" s="85"/>
      <c r="AC42" s="85"/>
      <c r="AD42" s="85"/>
      <c r="AE42" s="85"/>
      <c r="AF42" s="85"/>
      <c r="AG42" s="85"/>
      <c r="AH42" s="85"/>
      <c r="AI42" s="85"/>
      <c r="AJ42" s="85"/>
    </row>
    <row r="43" spans="1:39" ht="13.5" customHeight="1" thickTop="1" x14ac:dyDescent="0.3">
      <c r="A43" s="392" t="s">
        <v>0</v>
      </c>
      <c r="B43" s="376" t="s">
        <v>123</v>
      </c>
      <c r="C43" s="377"/>
      <c r="D43" s="377"/>
      <c r="E43" s="377"/>
      <c r="F43" s="377"/>
      <c r="G43" s="377"/>
      <c r="H43" s="377"/>
      <c r="I43" s="378"/>
      <c r="J43" s="376" t="s">
        <v>124</v>
      </c>
      <c r="K43" s="377"/>
      <c r="L43" s="377"/>
      <c r="M43" s="377"/>
      <c r="N43" s="377"/>
      <c r="O43" s="377"/>
      <c r="P43" s="377"/>
      <c r="Q43" s="378"/>
      <c r="R43" s="394" t="s">
        <v>125</v>
      </c>
      <c r="S43" s="394"/>
      <c r="T43" s="394"/>
      <c r="U43" s="394"/>
      <c r="V43" s="394"/>
      <c r="W43" s="394"/>
      <c r="X43" s="394" t="s">
        <v>126</v>
      </c>
      <c r="Y43" s="394"/>
      <c r="Z43" s="394"/>
      <c r="AA43" s="394"/>
      <c r="AB43" s="394"/>
      <c r="AC43" s="394"/>
      <c r="AD43" s="394" t="s">
        <v>1</v>
      </c>
      <c r="AE43" s="394"/>
      <c r="AF43" s="394"/>
      <c r="AG43" s="394"/>
      <c r="AH43" s="394"/>
      <c r="AI43" s="395"/>
      <c r="AJ43" s="9"/>
    </row>
    <row r="44" spans="1:39" ht="12.75" customHeight="1" x14ac:dyDescent="0.3">
      <c r="A44" s="393"/>
      <c r="B44" s="387" t="s">
        <v>2</v>
      </c>
      <c r="C44" s="382" t="s">
        <v>3</v>
      </c>
      <c r="D44" s="383"/>
      <c r="E44" s="383"/>
      <c r="F44" s="383"/>
      <c r="G44" s="383"/>
      <c r="H44" s="383"/>
      <c r="I44" s="384"/>
      <c r="J44" s="387" t="s">
        <v>2</v>
      </c>
      <c r="K44" s="382" t="s">
        <v>3</v>
      </c>
      <c r="L44" s="383"/>
      <c r="M44" s="383"/>
      <c r="N44" s="383"/>
      <c r="O44" s="383"/>
      <c r="P44" s="383"/>
      <c r="Q44" s="384"/>
      <c r="R44" s="387" t="s">
        <v>2</v>
      </c>
      <c r="S44" s="396" t="s">
        <v>4</v>
      </c>
      <c r="T44" s="396"/>
      <c r="U44" s="396"/>
      <c r="V44" s="396"/>
      <c r="W44" s="396"/>
      <c r="X44" s="387" t="s">
        <v>2</v>
      </c>
      <c r="Y44" s="396" t="s">
        <v>4</v>
      </c>
      <c r="Z44" s="396"/>
      <c r="AA44" s="396"/>
      <c r="AB44" s="396"/>
      <c r="AC44" s="396"/>
      <c r="AD44" s="385" t="s">
        <v>2</v>
      </c>
      <c r="AE44" s="396" t="s">
        <v>4</v>
      </c>
      <c r="AF44" s="396"/>
      <c r="AG44" s="396"/>
      <c r="AH44" s="396"/>
      <c r="AI44" s="397"/>
      <c r="AJ44" s="9"/>
    </row>
    <row r="45" spans="1:39" ht="12.75" customHeight="1" x14ac:dyDescent="0.3">
      <c r="A45" s="393"/>
      <c r="B45" s="387"/>
      <c r="C45" s="398" t="s">
        <v>5</v>
      </c>
      <c r="D45" s="387" t="s">
        <v>6</v>
      </c>
      <c r="E45" s="387" t="s">
        <v>7</v>
      </c>
      <c r="F45" s="379" t="s">
        <v>8</v>
      </c>
      <c r="G45" s="380"/>
      <c r="H45" s="380"/>
      <c r="I45" s="381"/>
      <c r="J45" s="387"/>
      <c r="K45" s="398" t="s">
        <v>5</v>
      </c>
      <c r="L45" s="387" t="s">
        <v>6</v>
      </c>
      <c r="M45" s="387" t="s">
        <v>7</v>
      </c>
      <c r="N45" s="379" t="s">
        <v>8</v>
      </c>
      <c r="O45" s="380"/>
      <c r="P45" s="380"/>
      <c r="Q45" s="381"/>
      <c r="R45" s="387"/>
      <c r="S45" s="387" t="s">
        <v>6</v>
      </c>
      <c r="T45" s="385" t="s">
        <v>7</v>
      </c>
      <c r="U45" s="386" t="s">
        <v>8</v>
      </c>
      <c r="V45" s="386"/>
      <c r="W45" s="386"/>
      <c r="X45" s="387"/>
      <c r="Y45" s="387" t="s">
        <v>6</v>
      </c>
      <c r="Z45" s="385" t="s">
        <v>7</v>
      </c>
      <c r="AA45" s="386" t="s">
        <v>8</v>
      </c>
      <c r="AB45" s="386"/>
      <c r="AC45" s="386"/>
      <c r="AD45" s="385"/>
      <c r="AE45" s="385" t="s">
        <v>6</v>
      </c>
      <c r="AF45" s="385" t="s">
        <v>7</v>
      </c>
      <c r="AG45" s="389" t="s">
        <v>8</v>
      </c>
      <c r="AH45" s="389"/>
      <c r="AI45" s="390"/>
      <c r="AJ45" s="11"/>
    </row>
    <row r="46" spans="1:39" ht="57.75" customHeight="1" x14ac:dyDescent="0.3">
      <c r="A46" s="393"/>
      <c r="B46" s="387"/>
      <c r="C46" s="399"/>
      <c r="D46" s="387"/>
      <c r="E46" s="387"/>
      <c r="F46" s="12" t="s">
        <v>9</v>
      </c>
      <c r="G46" s="12" t="s">
        <v>10</v>
      </c>
      <c r="H46" s="12" t="s">
        <v>121</v>
      </c>
      <c r="I46" s="12" t="s">
        <v>122</v>
      </c>
      <c r="J46" s="387"/>
      <c r="K46" s="399"/>
      <c r="L46" s="387"/>
      <c r="M46" s="387"/>
      <c r="N46" s="12" t="s">
        <v>9</v>
      </c>
      <c r="O46" s="12" t="s">
        <v>10</v>
      </c>
      <c r="P46" s="12" t="s">
        <v>121</v>
      </c>
      <c r="Q46" s="12" t="s">
        <v>122</v>
      </c>
      <c r="R46" s="387"/>
      <c r="S46" s="387"/>
      <c r="T46" s="385"/>
      <c r="U46" s="12" t="s">
        <v>9</v>
      </c>
      <c r="V46" s="12" t="s">
        <v>10</v>
      </c>
      <c r="W46" s="12" t="s">
        <v>11</v>
      </c>
      <c r="X46" s="387"/>
      <c r="Y46" s="387"/>
      <c r="Z46" s="385"/>
      <c r="AA46" s="12" t="s">
        <v>9</v>
      </c>
      <c r="AB46" s="12" t="s">
        <v>10</v>
      </c>
      <c r="AC46" s="12" t="s">
        <v>11</v>
      </c>
      <c r="AD46" s="385"/>
      <c r="AE46" s="385"/>
      <c r="AF46" s="385"/>
      <c r="AG46" s="13" t="s">
        <v>9</v>
      </c>
      <c r="AH46" s="13" t="s">
        <v>10</v>
      </c>
      <c r="AI46" s="14" t="s">
        <v>12</v>
      </c>
      <c r="AJ46" s="15"/>
    </row>
    <row r="47" spans="1:39" x14ac:dyDescent="0.3">
      <c r="A47" s="16" t="s">
        <v>13</v>
      </c>
      <c r="B47" s="17"/>
      <c r="C47" s="17"/>
      <c r="D47" s="18"/>
      <c r="E47" s="17"/>
      <c r="F47" s="19"/>
      <c r="G47" s="19"/>
      <c r="H47" s="19"/>
      <c r="I47" s="19"/>
      <c r="J47" s="17"/>
      <c r="K47" s="17"/>
      <c r="L47" s="17"/>
      <c r="M47" s="17"/>
      <c r="N47" s="19"/>
      <c r="O47" s="19"/>
      <c r="P47" s="19"/>
      <c r="Q47" s="19"/>
      <c r="R47" s="17" t="s">
        <v>14</v>
      </c>
      <c r="S47" s="17" t="s">
        <v>15</v>
      </c>
      <c r="T47" s="17" t="s">
        <v>16</v>
      </c>
      <c r="U47" s="19">
        <v>4</v>
      </c>
      <c r="V47" s="19">
        <v>5</v>
      </c>
      <c r="W47" s="19">
        <v>6</v>
      </c>
      <c r="X47" s="17" t="s">
        <v>17</v>
      </c>
      <c r="Y47" s="17" t="s">
        <v>18</v>
      </c>
      <c r="Z47" s="17" t="s">
        <v>19</v>
      </c>
      <c r="AA47" s="19">
        <v>10</v>
      </c>
      <c r="AB47" s="19">
        <v>11</v>
      </c>
      <c r="AC47" s="19">
        <v>12</v>
      </c>
      <c r="AD47" s="17" t="s">
        <v>20</v>
      </c>
      <c r="AE47" s="17" t="s">
        <v>21</v>
      </c>
      <c r="AF47" s="17" t="s">
        <v>22</v>
      </c>
      <c r="AG47" s="19" t="s">
        <v>23</v>
      </c>
      <c r="AH47" s="19" t="s">
        <v>24</v>
      </c>
      <c r="AI47" s="20" t="s">
        <v>25</v>
      </c>
      <c r="AJ47" s="21"/>
    </row>
    <row r="48" spans="1:39" x14ac:dyDescent="0.3">
      <c r="A48" s="94" t="s">
        <v>58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82"/>
      <c r="N48" s="95"/>
      <c r="O48" s="95"/>
      <c r="P48" s="95"/>
      <c r="Q48" s="95"/>
      <c r="R48" s="96"/>
      <c r="S48" s="96"/>
      <c r="T48" s="96"/>
      <c r="U48" s="96"/>
      <c r="V48" s="96"/>
      <c r="W48" s="96"/>
      <c r="X48" s="96"/>
      <c r="Y48" s="96"/>
      <c r="Z48" s="97">
        <f>AA49+AB49+AC49-Z49</f>
        <v>638.59663175999958</v>
      </c>
      <c r="AA48" s="96"/>
      <c r="AB48" s="96"/>
      <c r="AC48" s="96"/>
      <c r="AD48" s="96"/>
      <c r="AE48" s="96"/>
      <c r="AF48" s="96"/>
      <c r="AG48" s="96"/>
      <c r="AH48" s="96"/>
      <c r="AI48" s="98"/>
      <c r="AJ48" s="99"/>
    </row>
    <row r="49" spans="1:36" s="44" customFormat="1" hidden="1" x14ac:dyDescent="0.25">
      <c r="A49" s="100" t="s">
        <v>59</v>
      </c>
      <c r="B49" s="101">
        <v>84842281635.839996</v>
      </c>
      <c r="C49" s="101">
        <v>21694238545.419998</v>
      </c>
      <c r="D49" s="101">
        <v>70409311413.679993</v>
      </c>
      <c r="E49" s="102">
        <f>F49+G49+H49+I49-E109</f>
        <v>34287187815.390003</v>
      </c>
      <c r="F49" s="101">
        <v>19240049843.240002</v>
      </c>
      <c r="G49" s="101">
        <v>13928580359.110001</v>
      </c>
      <c r="H49" s="101">
        <v>1300056372.55</v>
      </c>
      <c r="I49" s="101">
        <v>1658522192.6800001</v>
      </c>
      <c r="J49" s="101">
        <v>39720547126.050003</v>
      </c>
      <c r="K49" s="101">
        <v>10911846826.719999</v>
      </c>
      <c r="L49" s="101">
        <v>33119235066.93</v>
      </c>
      <c r="M49" s="102">
        <f>N49+O49+P49+Q49-M109</f>
        <v>16874562254.08</v>
      </c>
      <c r="N49" s="101">
        <v>9353283441.8400002</v>
      </c>
      <c r="O49" s="101">
        <v>7084471815.8999996</v>
      </c>
      <c r="P49" s="101">
        <v>511704657.73000002</v>
      </c>
      <c r="Q49" s="101">
        <v>563698970.37</v>
      </c>
      <c r="R49" s="103">
        <f>B49/1000000</f>
        <v>84842.281635840001</v>
      </c>
      <c r="S49" s="103">
        <f t="shared" ref="S49:V50" si="38">D49/1000000</f>
        <v>70409.31141368</v>
      </c>
      <c r="T49" s="103">
        <f t="shared" si="38"/>
        <v>34287.187815390003</v>
      </c>
      <c r="U49" s="103">
        <f t="shared" si="38"/>
        <v>19240.049843240002</v>
      </c>
      <c r="V49" s="103">
        <f t="shared" si="38"/>
        <v>13928.580359110001</v>
      </c>
      <c r="W49" s="103">
        <f t="shared" ref="W49:W57" si="39">(H49+I49)/1000000</f>
        <v>2958.5785652300001</v>
      </c>
      <c r="X49" s="103">
        <f t="shared" ref="X49:X63" si="40">J49/1000000</f>
        <v>39720.547126050005</v>
      </c>
      <c r="Y49" s="103">
        <f t="shared" ref="Y49:AB50" si="41">L49/1000000</f>
        <v>33119.235066929999</v>
      </c>
      <c r="Z49" s="103">
        <f t="shared" si="41"/>
        <v>16874.56225408</v>
      </c>
      <c r="AA49" s="103">
        <f t="shared" si="41"/>
        <v>9353.2834418399998</v>
      </c>
      <c r="AB49" s="103">
        <f t="shared" si="41"/>
        <v>7084.4718158999995</v>
      </c>
      <c r="AC49" s="103">
        <f t="shared" ref="AC49:AC57" si="42">(P49+Q49)/1000000</f>
        <v>1075.4036280999999</v>
      </c>
      <c r="AD49" s="103">
        <f t="shared" ref="AD49:AI64" si="43">X49/R49%</f>
        <v>46.816924722202209</v>
      </c>
      <c r="AE49" s="103">
        <f t="shared" si="43"/>
        <v>47.038146520625091</v>
      </c>
      <c r="AF49" s="103">
        <f t="shared" si="43"/>
        <v>49.215358065923844</v>
      </c>
      <c r="AG49" s="103">
        <f t="shared" si="43"/>
        <v>48.613613364033355</v>
      </c>
      <c r="AH49" s="103">
        <f t="shared" si="43"/>
        <v>50.862841964123028</v>
      </c>
      <c r="AI49" s="104">
        <f t="shared" si="43"/>
        <v>36.348658803197878</v>
      </c>
      <c r="AJ49" s="105"/>
    </row>
    <row r="50" spans="1:36" s="44" customFormat="1" x14ac:dyDescent="0.25">
      <c r="A50" s="106" t="s">
        <v>60</v>
      </c>
      <c r="B50" s="107">
        <v>5916834223.8000002</v>
      </c>
      <c r="C50" s="107">
        <v>153968229.62</v>
      </c>
      <c r="D50" s="107">
        <v>2710540383.8299999</v>
      </c>
      <c r="E50" s="210">
        <f>F50+G50+H50+I50-E51</f>
        <v>3308721556.8500004</v>
      </c>
      <c r="F50" s="38">
        <v>1550414730.1400001</v>
      </c>
      <c r="G50" s="38">
        <v>1155493125.6400001</v>
      </c>
      <c r="H50" s="38">
        <v>200543984.84999999</v>
      </c>
      <c r="I50" s="107">
        <v>453810228.95999998</v>
      </c>
      <c r="J50" s="107">
        <v>2424070871.9499998</v>
      </c>
      <c r="K50" s="107">
        <v>65935151.590000004</v>
      </c>
      <c r="L50" s="107">
        <v>989373331.95000005</v>
      </c>
      <c r="M50" s="210">
        <f>N50+O50+P50+Q50-M51</f>
        <v>1475468416.8700001</v>
      </c>
      <c r="N50" s="107">
        <v>653285077.35000002</v>
      </c>
      <c r="O50" s="107">
        <v>552842430.95000005</v>
      </c>
      <c r="P50" s="107">
        <v>79666429.200000003</v>
      </c>
      <c r="Q50" s="107">
        <v>214838754.09</v>
      </c>
      <c r="R50" s="40">
        <f>B50/1000000</f>
        <v>5916.8342238000005</v>
      </c>
      <c r="S50" s="40">
        <f t="shared" si="38"/>
        <v>2710.5403838299999</v>
      </c>
      <c r="T50" s="40">
        <f t="shared" si="38"/>
        <v>3308.7215568500005</v>
      </c>
      <c r="U50" s="40">
        <f t="shared" si="38"/>
        <v>1550.4147301400001</v>
      </c>
      <c r="V50" s="40">
        <f t="shared" si="38"/>
        <v>1155.49312564</v>
      </c>
      <c r="W50" s="40">
        <f t="shared" si="39"/>
        <v>654.35421380999992</v>
      </c>
      <c r="X50" s="40">
        <f t="shared" si="40"/>
        <v>2424.0708719499999</v>
      </c>
      <c r="Y50" s="40">
        <f t="shared" si="41"/>
        <v>989.37333195000008</v>
      </c>
      <c r="Z50" s="40">
        <f t="shared" si="41"/>
        <v>1475.4684168700001</v>
      </c>
      <c r="AA50" s="40">
        <f t="shared" si="41"/>
        <v>653.28507735000005</v>
      </c>
      <c r="AB50" s="40">
        <f t="shared" si="41"/>
        <v>552.84243094999999</v>
      </c>
      <c r="AC50" s="40">
        <f t="shared" si="42"/>
        <v>294.50518329000005</v>
      </c>
      <c r="AD50" s="40">
        <f t="shared" si="43"/>
        <v>40.969051696587428</v>
      </c>
      <c r="AE50" s="40">
        <f t="shared" si="43"/>
        <v>36.500962607021307</v>
      </c>
      <c r="AF50" s="40">
        <f>Z50/T50%</f>
        <v>44.593308669789941</v>
      </c>
      <c r="AG50" s="40">
        <f>AA50/U50%</f>
        <v>42.136150066828208</v>
      </c>
      <c r="AH50" s="40">
        <f t="shared" si="43"/>
        <v>47.844718301010559</v>
      </c>
      <c r="AI50" s="41">
        <f>AC50/W50%</f>
        <v>45.006997292068078</v>
      </c>
      <c r="AJ50" s="42"/>
    </row>
    <row r="51" spans="1:36" hidden="1" x14ac:dyDescent="0.25">
      <c r="A51" s="108" t="s">
        <v>61</v>
      </c>
      <c r="B51" s="213">
        <v>2536443.14</v>
      </c>
      <c r="C51" s="214">
        <v>153968229.62</v>
      </c>
      <c r="D51" s="214">
        <v>104964160.02000001</v>
      </c>
      <c r="E51" s="215">
        <f>F51+G51+H51+I51</f>
        <v>51540512.740000002</v>
      </c>
      <c r="F51" s="213">
        <v>0</v>
      </c>
      <c r="G51" s="214">
        <v>38733720.740000002</v>
      </c>
      <c r="H51" s="214">
        <v>1206319</v>
      </c>
      <c r="I51" s="214">
        <v>11600473</v>
      </c>
      <c r="J51" s="31">
        <v>0</v>
      </c>
      <c r="K51" s="31">
        <v>65935151.590000004</v>
      </c>
      <c r="L51" s="31">
        <v>40770876.870000005</v>
      </c>
      <c r="M51" s="215">
        <f>N51+O51+P51+Q51</f>
        <v>25164274.719999999</v>
      </c>
      <c r="N51" s="31">
        <v>0</v>
      </c>
      <c r="O51" s="31">
        <v>19543685.52</v>
      </c>
      <c r="P51" s="31">
        <v>454172.7</v>
      </c>
      <c r="Q51" s="31">
        <v>5166416.5</v>
      </c>
      <c r="R51" s="33">
        <f>B51/1000000</f>
        <v>2.5364431400000003</v>
      </c>
      <c r="S51" s="33">
        <f t="shared" ref="S51:S82" si="44">D51/1000000</f>
        <v>104.96416002000001</v>
      </c>
      <c r="T51" s="33"/>
      <c r="U51" s="33"/>
      <c r="V51" s="33">
        <f t="shared" ref="V51:V71" si="45">G51/1000000</f>
        <v>38.733720740000003</v>
      </c>
      <c r="W51" s="33">
        <f t="shared" si="39"/>
        <v>12.806792</v>
      </c>
      <c r="X51" s="33"/>
      <c r="Y51" s="33">
        <f t="shared" ref="Y51:Y77" si="46">L51/1000000</f>
        <v>40.770876870000002</v>
      </c>
      <c r="Z51" s="33"/>
      <c r="AA51" s="33"/>
      <c r="AB51" s="33">
        <f t="shared" ref="AB51:AB65" si="47">O51/1000000</f>
        <v>19.54368552</v>
      </c>
      <c r="AC51" s="33">
        <f t="shared" si="42"/>
        <v>5.6205892000000004</v>
      </c>
      <c r="AD51" s="33">
        <f t="shared" si="43"/>
        <v>0</v>
      </c>
      <c r="AE51" s="33">
        <f t="shared" si="43"/>
        <v>38.842664831721095</v>
      </c>
      <c r="AF51" s="33"/>
      <c r="AG51" s="33"/>
      <c r="AH51" s="33">
        <f t="shared" si="43"/>
        <v>50.456514754125834</v>
      </c>
      <c r="AI51" s="35">
        <f>AC51/W51%</f>
        <v>43.887565285670291</v>
      </c>
      <c r="AJ51" s="36"/>
    </row>
    <row r="52" spans="1:36" s="44" customFormat="1" x14ac:dyDescent="0.25">
      <c r="A52" s="106" t="s">
        <v>62</v>
      </c>
      <c r="B52" s="107">
        <v>31272500</v>
      </c>
      <c r="C52" s="107">
        <v>56373400</v>
      </c>
      <c r="D52" s="107">
        <v>31272500</v>
      </c>
      <c r="E52" s="210">
        <f>F52+G52+H52+I52-E53</f>
        <v>31272500</v>
      </c>
      <c r="F52" s="107">
        <v>6171600</v>
      </c>
      <c r="G52" s="107">
        <v>25100900</v>
      </c>
      <c r="H52" s="107">
        <v>4002200</v>
      </c>
      <c r="I52" s="107">
        <v>21098700</v>
      </c>
      <c r="J52" s="107">
        <v>13049162.18</v>
      </c>
      <c r="K52" s="107">
        <v>35745484.049999997</v>
      </c>
      <c r="L52" s="107">
        <v>19158836.120000001</v>
      </c>
      <c r="M52" s="210">
        <f>N52+O52+P52+Q52-M53</f>
        <v>13049162.18</v>
      </c>
      <c r="N52" s="107">
        <v>2572188.19</v>
      </c>
      <c r="O52" s="107">
        <v>16586647.93</v>
      </c>
      <c r="P52" s="107">
        <v>1652525.46</v>
      </c>
      <c r="Q52" s="107">
        <v>8824448.5299999993</v>
      </c>
      <c r="R52" s="40">
        <f t="shared" ref="R52:R91" si="48">B52/1000000</f>
        <v>31.272500000000001</v>
      </c>
      <c r="S52" s="40">
        <f t="shared" si="44"/>
        <v>31.272500000000001</v>
      </c>
      <c r="T52" s="40">
        <f>E52/1000000</f>
        <v>31.272500000000001</v>
      </c>
      <c r="U52" s="40">
        <f>F52/1000000</f>
        <v>6.1715999999999998</v>
      </c>
      <c r="V52" s="40">
        <f t="shared" si="45"/>
        <v>25.100899999999999</v>
      </c>
      <c r="W52" s="40">
        <f t="shared" si="39"/>
        <v>25.100899999999999</v>
      </c>
      <c r="X52" s="40">
        <f t="shared" si="40"/>
        <v>13.04916218</v>
      </c>
      <c r="Y52" s="40">
        <f t="shared" si="46"/>
        <v>19.15883612</v>
      </c>
      <c r="Z52" s="40">
        <f>M52/1000000</f>
        <v>13.04916218</v>
      </c>
      <c r="AA52" s="40">
        <f>N52/1000000</f>
        <v>2.5721881899999999</v>
      </c>
      <c r="AB52" s="40">
        <f t="shared" si="47"/>
        <v>16.586647929999998</v>
      </c>
      <c r="AC52" s="40">
        <f t="shared" si="42"/>
        <v>10.476973989999998</v>
      </c>
      <c r="AD52" s="40">
        <f t="shared" si="43"/>
        <v>41.727275337756808</v>
      </c>
      <c r="AE52" s="40">
        <f t="shared" si="43"/>
        <v>61.264165384922848</v>
      </c>
      <c r="AF52" s="40">
        <f t="shared" si="43"/>
        <v>41.727275337756808</v>
      </c>
      <c r="AG52" s="40">
        <f>AA52/U52%</f>
        <v>41.677817583770818</v>
      </c>
      <c r="AH52" s="40">
        <f t="shared" si="43"/>
        <v>66.079893270759214</v>
      </c>
      <c r="AI52" s="41">
        <f>AC52/W52%</f>
        <v>41.739435597926764</v>
      </c>
      <c r="AJ52" s="42"/>
    </row>
    <row r="53" spans="1:36" hidden="1" x14ac:dyDescent="0.3">
      <c r="A53" s="108" t="s">
        <v>61</v>
      </c>
      <c r="B53" s="109">
        <v>0</v>
      </c>
      <c r="C53" s="109">
        <v>56373400</v>
      </c>
      <c r="D53" s="109">
        <v>31272500</v>
      </c>
      <c r="E53" s="215">
        <f>F53+G53+H53+I53</f>
        <v>25100900</v>
      </c>
      <c r="F53" s="109">
        <v>0</v>
      </c>
      <c r="G53" s="109">
        <v>25100900</v>
      </c>
      <c r="H53" s="109">
        <v>0</v>
      </c>
      <c r="I53" s="109">
        <v>0</v>
      </c>
      <c r="J53" s="109">
        <v>0</v>
      </c>
      <c r="K53" s="109">
        <v>35745484.049999997</v>
      </c>
      <c r="L53" s="109">
        <v>19158836.120000001</v>
      </c>
      <c r="M53" s="215">
        <f>N53+O53+P53+Q53</f>
        <v>16586647.93</v>
      </c>
      <c r="N53" s="109">
        <v>0</v>
      </c>
      <c r="O53" s="109">
        <v>16586647.93</v>
      </c>
      <c r="P53" s="109">
        <v>0</v>
      </c>
      <c r="Q53" s="109">
        <v>0</v>
      </c>
      <c r="R53" s="33">
        <f t="shared" si="48"/>
        <v>0</v>
      </c>
      <c r="S53" s="33">
        <f t="shared" si="44"/>
        <v>31.272500000000001</v>
      </c>
      <c r="T53" s="33"/>
      <c r="U53" s="33"/>
      <c r="V53" s="33">
        <f t="shared" si="45"/>
        <v>25.100899999999999</v>
      </c>
      <c r="W53" s="33">
        <f t="shared" si="39"/>
        <v>0</v>
      </c>
      <c r="X53" s="33">
        <f t="shared" si="40"/>
        <v>0</v>
      </c>
      <c r="Y53" s="33">
        <f t="shared" si="46"/>
        <v>19.15883612</v>
      </c>
      <c r="Z53" s="33"/>
      <c r="AA53" s="33"/>
      <c r="AB53" s="33">
        <f t="shared" si="47"/>
        <v>16.586647929999998</v>
      </c>
      <c r="AC53" s="33">
        <f t="shared" si="42"/>
        <v>0</v>
      </c>
      <c r="AD53" s="33"/>
      <c r="AE53" s="33">
        <f t="shared" si="43"/>
        <v>61.264165384922848</v>
      </c>
      <c r="AF53" s="33"/>
      <c r="AG53" s="33"/>
      <c r="AH53" s="33">
        <f t="shared" si="43"/>
        <v>66.079893270759214</v>
      </c>
      <c r="AI53" s="33"/>
      <c r="AJ53" s="36"/>
    </row>
    <row r="54" spans="1:36" s="44" customFormat="1" ht="26.4" x14ac:dyDescent="0.25">
      <c r="A54" s="106" t="s">
        <v>63</v>
      </c>
      <c r="B54" s="107">
        <v>1264437572.0899999</v>
      </c>
      <c r="C54" s="107">
        <v>8216336.9100000001</v>
      </c>
      <c r="D54" s="107">
        <v>1081285300</v>
      </c>
      <c r="E54" s="210">
        <f>F54+G54+H54+I54-E55</f>
        <v>186201272.09000003</v>
      </c>
      <c r="F54" s="107">
        <v>145403317.06</v>
      </c>
      <c r="G54" s="107">
        <v>19231721.710000001</v>
      </c>
      <c r="H54" s="107">
        <v>10443307.4</v>
      </c>
      <c r="I54" s="107">
        <v>16290262.83</v>
      </c>
      <c r="J54" s="107">
        <v>597902246.45000005</v>
      </c>
      <c r="K54" s="107">
        <v>5671588.4400000004</v>
      </c>
      <c r="L54" s="107">
        <v>527710388.70999998</v>
      </c>
      <c r="M54" s="210">
        <f>N54+O54+P54+Q54-M55</f>
        <v>73440857.74000001</v>
      </c>
      <c r="N54" s="107">
        <v>60088121.880000003</v>
      </c>
      <c r="O54" s="107">
        <v>8281798.3200000003</v>
      </c>
      <c r="P54" s="107">
        <v>2603413.0299999998</v>
      </c>
      <c r="Q54" s="107">
        <v>4890112.95</v>
      </c>
      <c r="R54" s="40">
        <f t="shared" si="48"/>
        <v>1264.43757209</v>
      </c>
      <c r="S54" s="40">
        <f t="shared" si="44"/>
        <v>1081.2853</v>
      </c>
      <c r="T54" s="40">
        <f>E54/1000000</f>
        <v>186.20127209000003</v>
      </c>
      <c r="U54" s="40">
        <f>F54/1000000</f>
        <v>145.40331706000001</v>
      </c>
      <c r="V54" s="40">
        <f t="shared" si="45"/>
        <v>19.231721710000002</v>
      </c>
      <c r="W54" s="40">
        <f t="shared" si="39"/>
        <v>26.733570230000002</v>
      </c>
      <c r="X54" s="40">
        <f t="shared" si="40"/>
        <v>597.90224645000001</v>
      </c>
      <c r="Y54" s="40">
        <f t="shared" si="46"/>
        <v>527.71038870999996</v>
      </c>
      <c r="Z54" s="40">
        <f>M54/1000000</f>
        <v>73.440857740000013</v>
      </c>
      <c r="AA54" s="40">
        <f>N54/1000000</f>
        <v>60.088121880000003</v>
      </c>
      <c r="AB54" s="40">
        <f t="shared" si="47"/>
        <v>8.28179832</v>
      </c>
      <c r="AC54" s="40">
        <f t="shared" si="42"/>
        <v>7.4935259800000003</v>
      </c>
      <c r="AD54" s="40">
        <f t="shared" si="43"/>
        <v>47.286023418437509</v>
      </c>
      <c r="AE54" s="40">
        <f t="shared" si="43"/>
        <v>48.803991759621624</v>
      </c>
      <c r="AF54" s="40">
        <f t="shared" si="43"/>
        <v>39.441651990703107</v>
      </c>
      <c r="AG54" s="40">
        <f>AA54/U54%</f>
        <v>41.325138308368111</v>
      </c>
      <c r="AH54" s="40">
        <f t="shared" si="43"/>
        <v>43.063218389301447</v>
      </c>
      <c r="AI54" s="41">
        <f t="shared" si="43"/>
        <v>28.03039741991094</v>
      </c>
      <c r="AJ54" s="42"/>
    </row>
    <row r="55" spans="1:36" hidden="1" x14ac:dyDescent="0.3">
      <c r="A55" s="108" t="s">
        <v>61</v>
      </c>
      <c r="B55" s="109">
        <v>200000</v>
      </c>
      <c r="C55" s="109">
        <v>8216336.9100000001</v>
      </c>
      <c r="D55" s="109">
        <v>3249000</v>
      </c>
      <c r="E55" s="215">
        <f>F55+G55+H55+I55</f>
        <v>5167336.91</v>
      </c>
      <c r="F55" s="109">
        <v>0</v>
      </c>
      <c r="G55" s="109">
        <v>4403336.91</v>
      </c>
      <c r="H55" s="109">
        <v>764000</v>
      </c>
      <c r="I55" s="109">
        <v>0</v>
      </c>
      <c r="J55" s="109">
        <v>0</v>
      </c>
      <c r="K55" s="109">
        <v>5671588.4399999995</v>
      </c>
      <c r="L55" s="109">
        <v>3249000</v>
      </c>
      <c r="M55" s="215">
        <f>N55+O55+P55+Q55</f>
        <v>2422588.44</v>
      </c>
      <c r="N55" s="109">
        <v>0</v>
      </c>
      <c r="O55" s="109">
        <v>2118921.79</v>
      </c>
      <c r="P55" s="109">
        <v>303666.65000000002</v>
      </c>
      <c r="Q55" s="109">
        <v>0</v>
      </c>
      <c r="R55" s="33"/>
      <c r="S55" s="33">
        <f t="shared" si="44"/>
        <v>3.2490000000000001</v>
      </c>
      <c r="T55" s="33"/>
      <c r="U55" s="33"/>
      <c r="V55" s="33">
        <f t="shared" si="45"/>
        <v>4.4033369100000002</v>
      </c>
      <c r="W55" s="33">
        <f t="shared" si="39"/>
        <v>0.76400000000000001</v>
      </c>
      <c r="X55" s="33"/>
      <c r="Y55" s="33">
        <f t="shared" si="46"/>
        <v>3.2490000000000001</v>
      </c>
      <c r="Z55" s="33"/>
      <c r="AA55" s="33">
        <f t="shared" ref="AA55" si="49">N55/1000000</f>
        <v>0</v>
      </c>
      <c r="AB55" s="33">
        <f t="shared" si="47"/>
        <v>2.1189217899999999</v>
      </c>
      <c r="AC55" s="33">
        <f t="shared" si="42"/>
        <v>0.30366665000000004</v>
      </c>
      <c r="AD55" s="33"/>
      <c r="AE55" s="33">
        <f t="shared" si="43"/>
        <v>100.00000000000001</v>
      </c>
      <c r="AF55" s="33"/>
      <c r="AG55" s="33"/>
      <c r="AH55" s="33">
        <f t="shared" si="43"/>
        <v>48.120819126692709</v>
      </c>
      <c r="AI55" s="35">
        <f t="shared" si="43"/>
        <v>39.746943717277489</v>
      </c>
      <c r="AJ55" s="36"/>
    </row>
    <row r="56" spans="1:36" s="44" customFormat="1" x14ac:dyDescent="0.25">
      <c r="A56" s="106" t="s">
        <v>64</v>
      </c>
      <c r="B56" s="38">
        <v>11956030544.42</v>
      </c>
      <c r="C56" s="38">
        <v>910099426.59000003</v>
      </c>
      <c r="D56" s="38">
        <v>10135890244.23</v>
      </c>
      <c r="E56" s="210">
        <f>F56+G56+H56+I56-E57</f>
        <v>2519720968.5700002</v>
      </c>
      <c r="F56" s="38">
        <v>1887182909.6600001</v>
      </c>
      <c r="G56" s="38">
        <v>489452595.86000001</v>
      </c>
      <c r="H56" s="38">
        <v>175041593.47999999</v>
      </c>
      <c r="I56" s="107">
        <v>178562627.78</v>
      </c>
      <c r="J56" s="107">
        <v>4133695903.1100001</v>
      </c>
      <c r="K56" s="107">
        <v>120209193.08</v>
      </c>
      <c r="L56" s="107">
        <v>3443085716.3299999</v>
      </c>
      <c r="M56" s="210">
        <f>N56+O56+P56+Q56-M57</f>
        <v>769893702.39999998</v>
      </c>
      <c r="N56" s="107">
        <v>614333851.61000001</v>
      </c>
      <c r="O56" s="107">
        <v>117702933.61</v>
      </c>
      <c r="P56" s="107">
        <v>33155695.5</v>
      </c>
      <c r="Q56" s="107">
        <v>45626899.140000001</v>
      </c>
      <c r="R56" s="40">
        <f t="shared" si="48"/>
        <v>11956.03054442</v>
      </c>
      <c r="S56" s="40">
        <f t="shared" si="44"/>
        <v>10135.890244229999</v>
      </c>
      <c r="T56" s="40">
        <f>E56/1000000</f>
        <v>2519.72096857</v>
      </c>
      <c r="U56" s="40">
        <f>F56/1000000</f>
        <v>1887.1829096600002</v>
      </c>
      <c r="V56" s="40">
        <f t="shared" si="45"/>
        <v>489.45259586000003</v>
      </c>
      <c r="W56" s="40">
        <f t="shared" si="39"/>
        <v>353.60422125999997</v>
      </c>
      <c r="X56" s="40">
        <f t="shared" si="40"/>
        <v>4133.6959031100005</v>
      </c>
      <c r="Y56" s="40">
        <f t="shared" si="46"/>
        <v>3443.0857163299997</v>
      </c>
      <c r="Z56" s="40">
        <f>M56/1000000</f>
        <v>769.89370239999994</v>
      </c>
      <c r="AA56" s="40">
        <f>N56/1000000</f>
        <v>614.33385161000001</v>
      </c>
      <c r="AB56" s="40">
        <f t="shared" si="47"/>
        <v>117.70293361</v>
      </c>
      <c r="AC56" s="40">
        <f t="shared" si="42"/>
        <v>78.782594639999999</v>
      </c>
      <c r="AD56" s="40">
        <f t="shared" si="43"/>
        <v>34.57414973767559</v>
      </c>
      <c r="AE56" s="40">
        <f t="shared" si="43"/>
        <v>33.96924821961273</v>
      </c>
      <c r="AF56" s="40">
        <f t="shared" si="43"/>
        <v>30.554720621979524</v>
      </c>
      <c r="AG56" s="40">
        <f>AA56/U56%</f>
        <v>32.552957557287328</v>
      </c>
      <c r="AH56" s="40">
        <f t="shared" si="43"/>
        <v>24.047871970765279</v>
      </c>
      <c r="AI56" s="41">
        <f t="shared" si="43"/>
        <v>22.279879566842702</v>
      </c>
      <c r="AJ56" s="42"/>
    </row>
    <row r="57" spans="1:36" hidden="1" x14ac:dyDescent="0.3">
      <c r="A57" s="108" t="s">
        <v>61</v>
      </c>
      <c r="B57" s="109">
        <v>39876500</v>
      </c>
      <c r="C57" s="109">
        <v>910099426.59000003</v>
      </c>
      <c r="D57" s="109">
        <v>739457168.38</v>
      </c>
      <c r="E57" s="215">
        <f>F57+G57+H57+I57</f>
        <v>210518758.21000001</v>
      </c>
      <c r="F57" s="109">
        <v>0</v>
      </c>
      <c r="G57" s="109">
        <v>200237682</v>
      </c>
      <c r="H57" s="109">
        <v>140000</v>
      </c>
      <c r="I57" s="109">
        <v>10141076.210000001</v>
      </c>
      <c r="J57" s="109">
        <v>81125</v>
      </c>
      <c r="K57" s="109">
        <v>120209193.08</v>
      </c>
      <c r="L57" s="109">
        <v>79364640.61999999</v>
      </c>
      <c r="M57" s="215">
        <f>N57+O57+P57+Q57</f>
        <v>40925677.460000001</v>
      </c>
      <c r="N57" s="109">
        <v>0</v>
      </c>
      <c r="O57" s="109">
        <v>35642844.969999999</v>
      </c>
      <c r="P57" s="109">
        <v>140000</v>
      </c>
      <c r="Q57" s="109">
        <v>5142832.49</v>
      </c>
      <c r="R57" s="33">
        <f t="shared" si="48"/>
        <v>39.8765</v>
      </c>
      <c r="S57" s="33">
        <f t="shared" si="44"/>
        <v>739.45716837999998</v>
      </c>
      <c r="T57" s="33"/>
      <c r="U57" s="33"/>
      <c r="V57" s="33">
        <f t="shared" si="45"/>
        <v>200.23768200000001</v>
      </c>
      <c r="W57" s="33">
        <f t="shared" si="39"/>
        <v>10.28107621</v>
      </c>
      <c r="X57" s="33">
        <f t="shared" si="40"/>
        <v>8.1125000000000003E-2</v>
      </c>
      <c r="Y57" s="33">
        <f t="shared" si="46"/>
        <v>79.364640619999989</v>
      </c>
      <c r="Z57" s="33"/>
      <c r="AA57" s="33"/>
      <c r="AB57" s="33">
        <f t="shared" si="47"/>
        <v>35.642844969999999</v>
      </c>
      <c r="AC57" s="33">
        <f t="shared" si="42"/>
        <v>5.2828324900000005</v>
      </c>
      <c r="AD57" s="33">
        <f t="shared" si="43"/>
        <v>0.20344062292327564</v>
      </c>
      <c r="AE57" s="33">
        <f t="shared" si="43"/>
        <v>10.732824565602867</v>
      </c>
      <c r="AF57" s="110" t="s">
        <v>30</v>
      </c>
      <c r="AG57" s="110" t="s">
        <v>30</v>
      </c>
      <c r="AH57" s="33">
        <f t="shared" si="43"/>
        <v>17.800268467950001</v>
      </c>
      <c r="AI57" s="35">
        <f t="shared" si="43"/>
        <v>51.384041729615774</v>
      </c>
      <c r="AJ57" s="36"/>
    </row>
    <row r="58" spans="1:36" x14ac:dyDescent="0.25">
      <c r="A58" s="108" t="s">
        <v>65</v>
      </c>
      <c r="B58" s="111">
        <v>617166294.87</v>
      </c>
      <c r="C58" s="111">
        <v>0</v>
      </c>
      <c r="D58" s="111">
        <v>617056294.87</v>
      </c>
      <c r="E58" s="216">
        <f>F58+G58+H58+I58</f>
        <v>110000</v>
      </c>
      <c r="F58" s="111">
        <v>0</v>
      </c>
      <c r="G58" s="111">
        <v>50000</v>
      </c>
      <c r="H58" s="111">
        <v>60000</v>
      </c>
      <c r="I58" s="111">
        <v>0</v>
      </c>
      <c r="J58" s="111">
        <v>256036246.13</v>
      </c>
      <c r="K58" s="111">
        <v>0</v>
      </c>
      <c r="L58" s="111">
        <v>255974548.34</v>
      </c>
      <c r="M58" s="216">
        <f>N58+O58+P58+Q58</f>
        <v>61697.79</v>
      </c>
      <c r="N58" s="111">
        <v>0</v>
      </c>
      <c r="O58" s="111">
        <v>42663</v>
      </c>
      <c r="P58" s="111">
        <v>19034.79</v>
      </c>
      <c r="Q58" s="111">
        <v>0</v>
      </c>
      <c r="R58" s="33">
        <f t="shared" si="48"/>
        <v>617.16629487</v>
      </c>
      <c r="S58" s="33">
        <f t="shared" si="44"/>
        <v>617.05629486999999</v>
      </c>
      <c r="T58" s="33">
        <f>E58/1000000</f>
        <v>0.11</v>
      </c>
      <c r="U58" s="33">
        <f>F58/1000000</f>
        <v>0</v>
      </c>
      <c r="V58" s="33">
        <f t="shared" si="45"/>
        <v>0.05</v>
      </c>
      <c r="W58" s="33">
        <f t="shared" ref="W58:W112" si="50">(H58+I58)/1000000</f>
        <v>0.06</v>
      </c>
      <c r="X58" s="33">
        <f t="shared" si="40"/>
        <v>256.03624612999999</v>
      </c>
      <c r="Y58" s="33">
        <f t="shared" si="46"/>
        <v>255.97454834000001</v>
      </c>
      <c r="Z58" s="33">
        <f>M58/1000000</f>
        <v>6.1697790000000002E-2</v>
      </c>
      <c r="AA58" s="33">
        <f>N58/1000000</f>
        <v>0</v>
      </c>
      <c r="AB58" s="33">
        <f t="shared" si="47"/>
        <v>4.2663E-2</v>
      </c>
      <c r="AC58" s="115">
        <f t="shared" ref="AC58:AC84" si="51">(P58+Q58)/1000000</f>
        <v>1.9034789999999999E-2</v>
      </c>
      <c r="AD58" s="33">
        <f t="shared" si="43"/>
        <v>41.485779158424634</v>
      </c>
      <c r="AE58" s="33">
        <f t="shared" si="43"/>
        <v>41.483175922211139</v>
      </c>
      <c r="AF58" s="33">
        <f>Z58/T58%</f>
        <v>56.088899999999995</v>
      </c>
      <c r="AG58" s="59" t="s">
        <v>30</v>
      </c>
      <c r="AH58" s="33">
        <f t="shared" si="43"/>
        <v>85.325999999999993</v>
      </c>
      <c r="AI58" s="35">
        <f t="shared" si="43"/>
        <v>31.72465</v>
      </c>
      <c r="AJ58" s="36"/>
    </row>
    <row r="59" spans="1:36" x14ac:dyDescent="0.25">
      <c r="A59" s="108" t="s">
        <v>66</v>
      </c>
      <c r="B59" s="111">
        <v>77300192.269999996</v>
      </c>
      <c r="C59" s="111">
        <v>6000000</v>
      </c>
      <c r="D59" s="111">
        <v>72080500</v>
      </c>
      <c r="E59" s="216">
        <f>F59+G59+H59+I59-E60</f>
        <v>11219692.27</v>
      </c>
      <c r="F59" s="111">
        <v>1350000</v>
      </c>
      <c r="G59" s="111">
        <v>9152617.0199999996</v>
      </c>
      <c r="H59" s="111">
        <v>472075.25</v>
      </c>
      <c r="I59" s="111">
        <v>245000</v>
      </c>
      <c r="J59" s="111">
        <v>25707590</v>
      </c>
      <c r="K59" s="111">
        <v>0</v>
      </c>
      <c r="L59" s="111">
        <v>25343728.23</v>
      </c>
      <c r="M59" s="216">
        <f>N59+O59+P59+Q59-M60</f>
        <v>363861.77</v>
      </c>
      <c r="N59" s="111">
        <v>0</v>
      </c>
      <c r="O59" s="111">
        <v>300000</v>
      </c>
      <c r="P59" s="111">
        <v>0</v>
      </c>
      <c r="Q59" s="111">
        <v>63861.77</v>
      </c>
      <c r="R59" s="33">
        <f t="shared" si="48"/>
        <v>77.300192269999997</v>
      </c>
      <c r="S59" s="33">
        <f t="shared" si="44"/>
        <v>72.080500000000001</v>
      </c>
      <c r="T59" s="33">
        <f>E59/1000000</f>
        <v>11.219692269999999</v>
      </c>
      <c r="U59" s="33">
        <f>F59/1000000</f>
        <v>1.35</v>
      </c>
      <c r="V59" s="33">
        <f t="shared" si="45"/>
        <v>9.1526170199999992</v>
      </c>
      <c r="W59" s="33">
        <f t="shared" si="50"/>
        <v>0.71707525000000005</v>
      </c>
      <c r="X59" s="33">
        <f t="shared" si="40"/>
        <v>25.70759</v>
      </c>
      <c r="Y59" s="33">
        <f t="shared" si="46"/>
        <v>25.34372823</v>
      </c>
      <c r="Z59" s="33">
        <f>M59/1000000</f>
        <v>0.36386177000000003</v>
      </c>
      <c r="AA59" s="33">
        <f>N59/1000000</f>
        <v>0</v>
      </c>
      <c r="AB59" s="33">
        <f t="shared" si="47"/>
        <v>0.3</v>
      </c>
      <c r="AC59" s="115">
        <f t="shared" si="51"/>
        <v>6.3861769999999998E-2</v>
      </c>
      <c r="AD59" s="33">
        <f t="shared" si="43"/>
        <v>33.256825429627099</v>
      </c>
      <c r="AE59" s="33">
        <f t="shared" si="43"/>
        <v>35.16031136021531</v>
      </c>
      <c r="AF59" s="33">
        <f>Z59/T59%</f>
        <v>3.2430637244206704</v>
      </c>
      <c r="AG59" s="33">
        <f>AA59/U59%</f>
        <v>0</v>
      </c>
      <c r="AH59" s="33">
        <f t="shared" si="43"/>
        <v>3.2777510448044511</v>
      </c>
      <c r="AI59" s="35">
        <f t="shared" si="43"/>
        <v>8.9058672712522142</v>
      </c>
      <c r="AJ59" s="36"/>
    </row>
    <row r="60" spans="1:36" s="119" customFormat="1" hidden="1" x14ac:dyDescent="0.25">
      <c r="A60" s="112" t="s">
        <v>67</v>
      </c>
      <c r="B60" s="113">
        <v>0</v>
      </c>
      <c r="C60" s="113">
        <v>6000000</v>
      </c>
      <c r="D60" s="113">
        <v>6000000</v>
      </c>
      <c r="E60" s="114">
        <f>F60+G60+H60+I60</f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4">
        <f>N60+O60+P60+Q60</f>
        <v>0</v>
      </c>
      <c r="N60" s="113">
        <v>0</v>
      </c>
      <c r="O60" s="113">
        <v>0</v>
      </c>
      <c r="P60" s="113">
        <v>0</v>
      </c>
      <c r="Q60" s="113">
        <v>0</v>
      </c>
      <c r="R60" s="115"/>
      <c r="S60" s="115">
        <f t="shared" si="44"/>
        <v>6</v>
      </c>
      <c r="T60" s="115"/>
      <c r="U60" s="115"/>
      <c r="V60" s="115">
        <f t="shared" si="45"/>
        <v>0</v>
      </c>
      <c r="W60" s="115">
        <f t="shared" si="50"/>
        <v>0</v>
      </c>
      <c r="X60" s="115"/>
      <c r="Y60" s="115">
        <f t="shared" si="46"/>
        <v>0</v>
      </c>
      <c r="Z60" s="115"/>
      <c r="AA60" s="115"/>
      <c r="AB60" s="115">
        <f t="shared" si="47"/>
        <v>0</v>
      </c>
      <c r="AC60" s="115">
        <f t="shared" si="51"/>
        <v>0</v>
      </c>
      <c r="AD60" s="116"/>
      <c r="AE60" s="115">
        <f t="shared" si="43"/>
        <v>0</v>
      </c>
      <c r="AF60" s="115"/>
      <c r="AG60" s="115"/>
      <c r="AH60" s="115"/>
      <c r="AI60" s="117" t="e">
        <f t="shared" si="43"/>
        <v>#DIV/0!</v>
      </c>
      <c r="AJ60" s="118"/>
    </row>
    <row r="61" spans="1:36" x14ac:dyDescent="0.25">
      <c r="A61" s="108" t="s">
        <v>68</v>
      </c>
      <c r="B61" s="31">
        <v>1104179420</v>
      </c>
      <c r="C61" s="31">
        <v>0</v>
      </c>
      <c r="D61" s="31">
        <v>1091708600</v>
      </c>
      <c r="E61" s="210">
        <f>F61+G61+H61+I61-E62</f>
        <v>12470820</v>
      </c>
      <c r="F61" s="31">
        <v>0</v>
      </c>
      <c r="G61" s="31">
        <v>12436800</v>
      </c>
      <c r="H61" s="31">
        <v>20020</v>
      </c>
      <c r="I61" s="111">
        <v>14000</v>
      </c>
      <c r="J61" s="107">
        <v>653717251.53999996</v>
      </c>
      <c r="K61" s="107">
        <v>0</v>
      </c>
      <c r="L61" s="107">
        <v>648776765.16999996</v>
      </c>
      <c r="M61" s="210">
        <f>N61+O61+P61+Q61-M62</f>
        <v>4940486.37</v>
      </c>
      <c r="N61" s="107">
        <v>0</v>
      </c>
      <c r="O61" s="107">
        <v>4920486.37</v>
      </c>
      <c r="P61" s="107">
        <v>20000</v>
      </c>
      <c r="Q61" s="107">
        <v>0</v>
      </c>
      <c r="R61" s="33">
        <f t="shared" si="48"/>
        <v>1104.1794199999999</v>
      </c>
      <c r="S61" s="33">
        <f t="shared" si="44"/>
        <v>1091.7085999999999</v>
      </c>
      <c r="T61" s="33">
        <f>E61/1000000</f>
        <v>12.47082</v>
      </c>
      <c r="U61" s="33">
        <f>F61/1000000</f>
        <v>0</v>
      </c>
      <c r="V61" s="33">
        <f t="shared" si="45"/>
        <v>12.4368</v>
      </c>
      <c r="W61" s="33">
        <f t="shared" si="50"/>
        <v>3.4020000000000002E-2</v>
      </c>
      <c r="X61" s="33">
        <f t="shared" si="40"/>
        <v>653.71725154000001</v>
      </c>
      <c r="Y61" s="33">
        <f t="shared" si="46"/>
        <v>648.77676516999998</v>
      </c>
      <c r="Z61" s="33">
        <f>M61/1000000</f>
        <v>4.9404863700000003</v>
      </c>
      <c r="AA61" s="33">
        <f>N61/1000000</f>
        <v>0</v>
      </c>
      <c r="AB61" s="33">
        <f t="shared" si="47"/>
        <v>4.9204863699999999</v>
      </c>
      <c r="AC61" s="33">
        <f t="shared" si="51"/>
        <v>0.02</v>
      </c>
      <c r="AD61" s="33">
        <f t="shared" si="43"/>
        <v>59.203897455361016</v>
      </c>
      <c r="AE61" s="33">
        <f t="shared" si="43"/>
        <v>59.427649939736668</v>
      </c>
      <c r="AF61" s="33">
        <f>Z61/T61%</f>
        <v>39.616371417436874</v>
      </c>
      <c r="AG61" s="59" t="s">
        <v>30</v>
      </c>
      <c r="AH61" s="33">
        <f t="shared" si="43"/>
        <v>39.563926170719157</v>
      </c>
      <c r="AI61" s="35">
        <f>AC61/W61%</f>
        <v>58.788947677836561</v>
      </c>
      <c r="AJ61" s="36"/>
    </row>
    <row r="62" spans="1:36" s="119" customFormat="1" hidden="1" x14ac:dyDescent="0.25">
      <c r="A62" s="112" t="s">
        <v>67</v>
      </c>
      <c r="B62" s="113"/>
      <c r="C62" s="113"/>
      <c r="D62" s="113"/>
      <c r="E62" s="114">
        <f>F62+G62+H62+I62</f>
        <v>0</v>
      </c>
      <c r="F62" s="113"/>
      <c r="G62" s="113"/>
      <c r="H62" s="113"/>
      <c r="I62" s="113"/>
      <c r="J62" s="120"/>
      <c r="K62" s="120"/>
      <c r="L62" s="120"/>
      <c r="M62" s="114">
        <f>N62+O62+P62+Q62</f>
        <v>0</v>
      </c>
      <c r="N62" s="120"/>
      <c r="O62" s="120"/>
      <c r="P62" s="120"/>
      <c r="Q62" s="120"/>
      <c r="R62" s="115"/>
      <c r="S62" s="115">
        <f t="shared" si="44"/>
        <v>0</v>
      </c>
      <c r="T62" s="115"/>
      <c r="U62" s="115"/>
      <c r="V62" s="115">
        <f t="shared" si="45"/>
        <v>0</v>
      </c>
      <c r="W62" s="115">
        <f t="shared" si="50"/>
        <v>0</v>
      </c>
      <c r="X62" s="115"/>
      <c r="Y62" s="115">
        <f t="shared" si="46"/>
        <v>0</v>
      </c>
      <c r="Z62" s="115"/>
      <c r="AA62" s="115"/>
      <c r="AB62" s="115">
        <f t="shared" si="47"/>
        <v>0</v>
      </c>
      <c r="AC62" s="115">
        <f t="shared" si="51"/>
        <v>0</v>
      </c>
      <c r="AD62" s="115"/>
      <c r="AE62" s="115" t="e">
        <f t="shared" si="43"/>
        <v>#DIV/0!</v>
      </c>
      <c r="AF62" s="115"/>
      <c r="AG62" s="121"/>
      <c r="AH62" s="115" t="e">
        <f t="shared" si="43"/>
        <v>#DIV/0!</v>
      </c>
      <c r="AI62" s="117"/>
      <c r="AJ62" s="118"/>
    </row>
    <row r="63" spans="1:36" x14ac:dyDescent="0.25">
      <c r="A63" s="108" t="s">
        <v>69</v>
      </c>
      <c r="B63" s="122">
        <v>93479072.700000003</v>
      </c>
      <c r="C63" s="122">
        <v>3823672.7</v>
      </c>
      <c r="D63" s="122">
        <v>85874000</v>
      </c>
      <c r="E63" s="210">
        <f>F63+G63+H63+I63-E64</f>
        <v>8605072.6999999993</v>
      </c>
      <c r="F63" s="122">
        <v>0</v>
      </c>
      <c r="G63" s="122">
        <v>5825072.7000000002</v>
      </c>
      <c r="H63" s="122">
        <v>0</v>
      </c>
      <c r="I63" s="204">
        <v>5603672.7000000002</v>
      </c>
      <c r="J63" s="111">
        <v>1390000</v>
      </c>
      <c r="K63" s="111">
        <v>0</v>
      </c>
      <c r="L63" s="111">
        <v>0</v>
      </c>
      <c r="M63" s="210">
        <f>N63+O63+P63+Q63-M64</f>
        <v>1390000</v>
      </c>
      <c r="N63" s="111">
        <v>0</v>
      </c>
      <c r="O63" s="111">
        <v>0</v>
      </c>
      <c r="P63" s="111">
        <v>0</v>
      </c>
      <c r="Q63" s="111">
        <v>1390000</v>
      </c>
      <c r="R63" s="33">
        <f t="shared" si="48"/>
        <v>93.479072700000003</v>
      </c>
      <c r="S63" s="33">
        <f t="shared" si="44"/>
        <v>85.873999999999995</v>
      </c>
      <c r="T63" s="33">
        <f>E63/1000000</f>
        <v>8.6050726999999991</v>
      </c>
      <c r="U63" s="33">
        <f>F63/1000000</f>
        <v>0</v>
      </c>
      <c r="V63" s="33">
        <f t="shared" si="45"/>
        <v>5.8250726999999998</v>
      </c>
      <c r="W63" s="33">
        <f t="shared" si="50"/>
        <v>5.6036727000000006</v>
      </c>
      <c r="X63" s="33">
        <f t="shared" si="40"/>
        <v>1.39</v>
      </c>
      <c r="Y63" s="33">
        <f t="shared" si="46"/>
        <v>0</v>
      </c>
      <c r="Z63" s="33">
        <f>M63/1000000</f>
        <v>1.39</v>
      </c>
      <c r="AA63" s="33">
        <f>N63/1000000</f>
        <v>0</v>
      </c>
      <c r="AB63" s="33">
        <f t="shared" si="47"/>
        <v>0</v>
      </c>
      <c r="AC63" s="33">
        <f t="shared" si="51"/>
        <v>1.39</v>
      </c>
      <c r="AD63" s="33">
        <f t="shared" si="43"/>
        <v>1.486963830354727</v>
      </c>
      <c r="AE63" s="33">
        <f t="shared" si="43"/>
        <v>0</v>
      </c>
      <c r="AF63" s="33">
        <f>Z63/T63%</f>
        <v>16.153262714445166</v>
      </c>
      <c r="AG63" s="59" t="s">
        <v>30</v>
      </c>
      <c r="AH63" s="33">
        <f t="shared" si="43"/>
        <v>0</v>
      </c>
      <c r="AI63" s="35">
        <f>AC63/W63%</f>
        <v>24.805160372767663</v>
      </c>
      <c r="AJ63" s="36"/>
    </row>
    <row r="64" spans="1:36" s="119" customFormat="1" hidden="1" x14ac:dyDescent="0.3">
      <c r="A64" s="112" t="s">
        <v>67</v>
      </c>
      <c r="B64" s="120">
        <v>0</v>
      </c>
      <c r="C64" s="120">
        <v>3823672.7</v>
      </c>
      <c r="D64" s="120">
        <v>1000000</v>
      </c>
      <c r="E64" s="114">
        <f>F64+G64+H64+I64</f>
        <v>2823672.7</v>
      </c>
      <c r="F64" s="120">
        <v>0</v>
      </c>
      <c r="G64" s="120">
        <v>2823672.7</v>
      </c>
      <c r="H64" s="120">
        <v>0</v>
      </c>
      <c r="I64" s="120">
        <v>0</v>
      </c>
      <c r="J64" s="120">
        <v>0</v>
      </c>
      <c r="K64" s="120">
        <v>0</v>
      </c>
      <c r="L64" s="120">
        <v>0</v>
      </c>
      <c r="M64" s="114">
        <f>N64+O64+P64+Q64</f>
        <v>0</v>
      </c>
      <c r="N64" s="120">
        <v>0</v>
      </c>
      <c r="O64" s="120">
        <v>0</v>
      </c>
      <c r="P64" s="120">
        <v>0</v>
      </c>
      <c r="Q64" s="120">
        <v>0</v>
      </c>
      <c r="R64" s="115"/>
      <c r="S64" s="115">
        <f t="shared" si="44"/>
        <v>1</v>
      </c>
      <c r="T64" s="115"/>
      <c r="U64" s="115"/>
      <c r="V64" s="115">
        <f t="shared" si="45"/>
        <v>2.8236727000000004</v>
      </c>
      <c r="W64" s="115">
        <f t="shared" si="50"/>
        <v>0</v>
      </c>
      <c r="X64" s="115"/>
      <c r="Y64" s="115">
        <f t="shared" si="46"/>
        <v>0</v>
      </c>
      <c r="Z64" s="115"/>
      <c r="AA64" s="115"/>
      <c r="AB64" s="115">
        <f t="shared" si="47"/>
        <v>0</v>
      </c>
      <c r="AC64" s="115">
        <f t="shared" si="51"/>
        <v>0</v>
      </c>
      <c r="AD64" s="115"/>
      <c r="AE64" s="115">
        <f t="shared" si="43"/>
        <v>0</v>
      </c>
      <c r="AF64" s="115"/>
      <c r="AG64" s="121" t="s">
        <v>30</v>
      </c>
      <c r="AH64" s="115">
        <f>AB64/V64%</f>
        <v>0</v>
      </c>
      <c r="AI64" s="117"/>
      <c r="AJ64" s="118"/>
    </row>
    <row r="65" spans="1:36" x14ac:dyDescent="0.25">
      <c r="A65" s="108" t="s">
        <v>70</v>
      </c>
      <c r="B65" s="31">
        <v>869678555.09000003</v>
      </c>
      <c r="C65" s="31">
        <v>0</v>
      </c>
      <c r="D65" s="31">
        <v>868964400</v>
      </c>
      <c r="E65" s="210">
        <f>F65+G65+H65+I65-E66</f>
        <v>714155.09</v>
      </c>
      <c r="F65" s="31">
        <v>0</v>
      </c>
      <c r="G65" s="31">
        <v>0</v>
      </c>
      <c r="H65" s="31">
        <v>714155.09</v>
      </c>
      <c r="I65" s="111">
        <v>0</v>
      </c>
      <c r="J65" s="107">
        <v>339843740.58999997</v>
      </c>
      <c r="K65" s="107">
        <v>0</v>
      </c>
      <c r="L65" s="107">
        <v>339843740.58999997</v>
      </c>
      <c r="M65" s="210">
        <f>N65+O65+P65+Q65-M66</f>
        <v>0</v>
      </c>
      <c r="N65" s="31">
        <v>0</v>
      </c>
      <c r="O65" s="31">
        <v>0</v>
      </c>
      <c r="P65" s="31">
        <v>0</v>
      </c>
      <c r="Q65" s="31">
        <v>0</v>
      </c>
      <c r="R65" s="33">
        <f t="shared" si="48"/>
        <v>869.67855509000003</v>
      </c>
      <c r="S65" s="33">
        <f t="shared" si="44"/>
        <v>868.96439999999996</v>
      </c>
      <c r="T65" s="33">
        <f>E65/1000000</f>
        <v>0.71415508999999999</v>
      </c>
      <c r="U65" s="33">
        <f>F65/1000000</f>
        <v>0</v>
      </c>
      <c r="V65" s="33">
        <f t="shared" si="45"/>
        <v>0</v>
      </c>
      <c r="W65" s="33">
        <f t="shared" si="50"/>
        <v>0.71415508999999999</v>
      </c>
      <c r="X65" s="33">
        <f t="shared" ref="X65:X93" si="52">J65/1000000</f>
        <v>339.84374058999998</v>
      </c>
      <c r="Y65" s="33">
        <f t="shared" si="46"/>
        <v>339.84374058999998</v>
      </c>
      <c r="Z65" s="33">
        <f>M65/1000000</f>
        <v>0</v>
      </c>
      <c r="AA65" s="33">
        <f>N65/1000000</f>
        <v>0</v>
      </c>
      <c r="AB65" s="33">
        <f t="shared" si="47"/>
        <v>0</v>
      </c>
      <c r="AC65" s="33">
        <f t="shared" si="51"/>
        <v>0</v>
      </c>
      <c r="AD65" s="33">
        <f>X65/R65%</f>
        <v>39.076936944228862</v>
      </c>
      <c r="AE65" s="33">
        <f>Y65/S65%</f>
        <v>39.109052176360734</v>
      </c>
      <c r="AF65" s="33">
        <f t="shared" ref="AF65" si="53">Z65/T65%</f>
        <v>0</v>
      </c>
      <c r="AG65" s="59" t="s">
        <v>30</v>
      </c>
      <c r="AH65" s="59" t="s">
        <v>30</v>
      </c>
      <c r="AI65" s="35">
        <f t="shared" ref="AH65:AI66" si="54">AC65/W65%</f>
        <v>0</v>
      </c>
      <c r="AJ65" s="36"/>
    </row>
    <row r="66" spans="1:36" s="119" customFormat="1" hidden="1" x14ac:dyDescent="0.25">
      <c r="A66" s="112" t="s">
        <v>67</v>
      </c>
      <c r="B66" s="123"/>
      <c r="C66" s="123"/>
      <c r="D66" s="123"/>
      <c r="E66" s="114">
        <f>F66+G66+H66+I66</f>
        <v>0</v>
      </c>
      <c r="F66" s="123"/>
      <c r="G66" s="123"/>
      <c r="H66" s="123"/>
      <c r="I66" s="123"/>
      <c r="J66" s="124"/>
      <c r="K66" s="124"/>
      <c r="L66" s="124"/>
      <c r="M66" s="114">
        <f>N66+O66+P66+Q66</f>
        <v>0</v>
      </c>
      <c r="N66" s="123"/>
      <c r="O66" s="123"/>
      <c r="P66" s="123"/>
      <c r="Q66" s="123"/>
      <c r="R66" s="115"/>
      <c r="S66" s="115">
        <f t="shared" si="44"/>
        <v>0</v>
      </c>
      <c r="T66" s="115"/>
      <c r="U66" s="115"/>
      <c r="V66" s="115">
        <f t="shared" si="45"/>
        <v>0</v>
      </c>
      <c r="W66" s="115">
        <f t="shared" si="50"/>
        <v>0</v>
      </c>
      <c r="X66" s="115"/>
      <c r="Y66" s="115">
        <f t="shared" si="46"/>
        <v>0</v>
      </c>
      <c r="Z66" s="115"/>
      <c r="AA66" s="115"/>
      <c r="AB66" s="115">
        <f t="shared" ref="AB66:AB109" si="55">O66/1000000</f>
        <v>0</v>
      </c>
      <c r="AC66" s="115"/>
      <c r="AD66" s="116"/>
      <c r="AE66" s="115"/>
      <c r="AF66" s="115"/>
      <c r="AG66" s="115"/>
      <c r="AH66" s="115" t="e">
        <f t="shared" si="54"/>
        <v>#DIV/0!</v>
      </c>
      <c r="AI66" s="117"/>
      <c r="AJ66" s="118"/>
    </row>
    <row r="67" spans="1:36" x14ac:dyDescent="0.25">
      <c r="A67" s="108" t="s">
        <v>71</v>
      </c>
      <c r="B67" s="111">
        <v>710401407.87</v>
      </c>
      <c r="C67" s="111">
        <v>4407323.53</v>
      </c>
      <c r="D67" s="111">
        <v>535167142.07999998</v>
      </c>
      <c r="E67" s="210">
        <f>F67+G67+H67+I67-E68</f>
        <v>178295865.79000002</v>
      </c>
      <c r="F67" s="111">
        <v>118615682.62</v>
      </c>
      <c r="G67" s="111">
        <v>54659479.109999999</v>
      </c>
      <c r="H67" s="111">
        <v>5216380</v>
      </c>
      <c r="I67" s="111">
        <v>1150047.5900000001</v>
      </c>
      <c r="J67" s="111">
        <v>332531205.76999998</v>
      </c>
      <c r="K67" s="111">
        <v>839972.55</v>
      </c>
      <c r="L67" s="111">
        <v>242382479.68000001</v>
      </c>
      <c r="M67" s="210">
        <f>N67+O67+P67+Q67-M68</f>
        <v>90148726.090000018</v>
      </c>
      <c r="N67" s="111">
        <v>62179932.840000004</v>
      </c>
      <c r="O67" s="111">
        <v>25126713.530000001</v>
      </c>
      <c r="P67" s="111">
        <v>3176487.51</v>
      </c>
      <c r="Q67" s="111">
        <v>505564.76</v>
      </c>
      <c r="R67" s="33">
        <f t="shared" si="48"/>
        <v>710.40140786999996</v>
      </c>
      <c r="S67" s="33">
        <f t="shared" si="44"/>
        <v>535.16714207999996</v>
      </c>
      <c r="T67" s="33">
        <f>E67/1000000</f>
        <v>178.29586579000002</v>
      </c>
      <c r="U67" s="33">
        <f>F67/1000000</f>
        <v>118.61568262</v>
      </c>
      <c r="V67" s="33">
        <f t="shared" si="45"/>
        <v>54.659479109999999</v>
      </c>
      <c r="W67" s="33">
        <f t="shared" si="50"/>
        <v>6.3664275899999998</v>
      </c>
      <c r="X67" s="33">
        <f t="shared" si="52"/>
        <v>332.53120576999999</v>
      </c>
      <c r="Y67" s="33">
        <f t="shared" si="46"/>
        <v>242.38247968000002</v>
      </c>
      <c r="Z67" s="33">
        <f>M67/1000000</f>
        <v>90.148726090000025</v>
      </c>
      <c r="AA67" s="33">
        <f>N67/1000000</f>
        <v>62.179932840000006</v>
      </c>
      <c r="AB67" s="33">
        <f t="shared" si="55"/>
        <v>25.12671353</v>
      </c>
      <c r="AC67" s="33">
        <f t="shared" si="51"/>
        <v>3.6820522699999993</v>
      </c>
      <c r="AD67" s="33">
        <f>X67/R67%</f>
        <v>46.808917055363096</v>
      </c>
      <c r="AE67" s="33">
        <f t="shared" ref="AE67:AE107" si="56">Y67/S67%</f>
        <v>45.290986800487694</v>
      </c>
      <c r="AF67" s="33">
        <f>Z67/T67%</f>
        <v>50.561310376191649</v>
      </c>
      <c r="AG67" s="33">
        <f>AA67/U67%</f>
        <v>52.421342158609086</v>
      </c>
      <c r="AH67" s="33">
        <f>AB67/V67%</f>
        <v>45.969544421441526</v>
      </c>
      <c r="AI67" s="35">
        <f>AC67/W67%</f>
        <v>57.835453524729395</v>
      </c>
      <c r="AJ67" s="36"/>
    </row>
    <row r="68" spans="1:36" s="119" customFormat="1" hidden="1" x14ac:dyDescent="0.25">
      <c r="A68" s="112" t="s">
        <v>67</v>
      </c>
      <c r="B68" s="113">
        <v>1472000</v>
      </c>
      <c r="C68" s="113">
        <v>4407323.53</v>
      </c>
      <c r="D68" s="113">
        <v>4533600</v>
      </c>
      <c r="E68" s="114">
        <f>F68+G68+H68+I68</f>
        <v>1345723.53</v>
      </c>
      <c r="F68" s="113">
        <v>0</v>
      </c>
      <c r="G68" s="113">
        <v>1345723.53</v>
      </c>
      <c r="H68" s="113">
        <v>0</v>
      </c>
      <c r="I68" s="113">
        <v>0</v>
      </c>
      <c r="J68" s="113">
        <v>0</v>
      </c>
      <c r="K68" s="113">
        <v>839972.55</v>
      </c>
      <c r="L68" s="113">
        <v>0</v>
      </c>
      <c r="M68" s="114">
        <f>N68+O68+P68+Q68</f>
        <v>839972.55</v>
      </c>
      <c r="N68" s="113">
        <v>0</v>
      </c>
      <c r="O68" s="113">
        <v>839972.55</v>
      </c>
      <c r="P68" s="113">
        <v>0</v>
      </c>
      <c r="Q68" s="113">
        <v>0</v>
      </c>
      <c r="R68" s="115"/>
      <c r="S68" s="115">
        <f t="shared" si="44"/>
        <v>4.5335999999999999</v>
      </c>
      <c r="T68" s="115"/>
      <c r="U68" s="115"/>
      <c r="V68" s="115">
        <f t="shared" si="45"/>
        <v>1.3457235300000001</v>
      </c>
      <c r="W68" s="115">
        <f t="shared" si="50"/>
        <v>0</v>
      </c>
      <c r="X68" s="115"/>
      <c r="Y68" s="115">
        <f t="shared" si="46"/>
        <v>0</v>
      </c>
      <c r="Z68" s="115"/>
      <c r="AA68" s="115"/>
      <c r="AB68" s="115">
        <f t="shared" si="55"/>
        <v>0.83997255000000004</v>
      </c>
      <c r="AC68" s="115">
        <f t="shared" si="51"/>
        <v>0</v>
      </c>
      <c r="AD68" s="115"/>
      <c r="AE68" s="115">
        <f t="shared" si="56"/>
        <v>0</v>
      </c>
      <c r="AF68" s="115"/>
      <c r="AG68" s="115"/>
      <c r="AH68" s="115">
        <f t="shared" ref="AH68:AI84" si="57">AB68/V68%</f>
        <v>62.417913581402559</v>
      </c>
      <c r="AI68" s="117" t="e">
        <f t="shared" si="57"/>
        <v>#DIV/0!</v>
      </c>
      <c r="AJ68" s="118"/>
    </row>
    <row r="69" spans="1:36" x14ac:dyDescent="0.25">
      <c r="A69" s="108" t="s">
        <v>72</v>
      </c>
      <c r="B69" s="31">
        <v>8074370681.04</v>
      </c>
      <c r="C69" s="31">
        <v>879088826.47000003</v>
      </c>
      <c r="D69" s="31">
        <v>6598745224.29</v>
      </c>
      <c r="E69" s="210">
        <f>F69+G69+H69+I69-E70</f>
        <v>2162299190.1299996</v>
      </c>
      <c r="F69" s="31">
        <v>1683793063.96</v>
      </c>
      <c r="G69" s="31">
        <v>353680310.33999997</v>
      </c>
      <c r="H69" s="31">
        <v>163609897.94</v>
      </c>
      <c r="I69" s="31">
        <v>153631010.97999999</v>
      </c>
      <c r="J69" s="31">
        <v>2389319847.9200001</v>
      </c>
      <c r="K69" s="31">
        <v>115783869.29000001</v>
      </c>
      <c r="L69" s="31">
        <v>1846668420.4100001</v>
      </c>
      <c r="M69" s="210">
        <f>N69+O69+P69+Q69-M70</f>
        <v>621211573.46999991</v>
      </c>
      <c r="N69" s="31">
        <v>517706934.81999999</v>
      </c>
      <c r="O69" s="31">
        <v>71346736.590000004</v>
      </c>
      <c r="P69" s="31">
        <v>29207273.800000001</v>
      </c>
      <c r="Q69" s="31">
        <v>40174351.590000004</v>
      </c>
      <c r="R69" s="33">
        <f t="shared" si="48"/>
        <v>8074.3706810399999</v>
      </c>
      <c r="S69" s="33">
        <f t="shared" si="44"/>
        <v>6598.7452242899999</v>
      </c>
      <c r="T69" s="33">
        <f>E69/1000000</f>
        <v>2162.2991901299997</v>
      </c>
      <c r="U69" s="33">
        <f>F69/1000000</f>
        <v>1683.7930639599999</v>
      </c>
      <c r="V69" s="33">
        <f t="shared" si="45"/>
        <v>353.68031033999995</v>
      </c>
      <c r="W69" s="33">
        <f t="shared" si="50"/>
        <v>317.24090891999998</v>
      </c>
      <c r="X69" s="33">
        <f t="shared" si="52"/>
        <v>2389.31984792</v>
      </c>
      <c r="Y69" s="33">
        <f t="shared" si="46"/>
        <v>1846.6684204100002</v>
      </c>
      <c r="Z69" s="33">
        <f>M69/1000000</f>
        <v>621.21157346999996</v>
      </c>
      <c r="AA69" s="33">
        <f>N69/1000000</f>
        <v>517.70693482000001</v>
      </c>
      <c r="AB69" s="33">
        <f t="shared" si="55"/>
        <v>71.346736590000006</v>
      </c>
      <c r="AC69" s="33">
        <f t="shared" si="51"/>
        <v>69.381625389999996</v>
      </c>
      <c r="AD69" s="33">
        <f>X69/R69%</f>
        <v>29.59140646750998</v>
      </c>
      <c r="AE69" s="33">
        <f t="shared" si="56"/>
        <v>27.985145018365131</v>
      </c>
      <c r="AF69" s="33">
        <f>Z69/T69%</f>
        <v>28.729214546514818</v>
      </c>
      <c r="AG69" s="33">
        <f>AA69/U69%</f>
        <v>30.746470329461971</v>
      </c>
      <c r="AH69" s="33">
        <f t="shared" si="57"/>
        <v>20.172662855167978</v>
      </c>
      <c r="AI69" s="35">
        <f t="shared" si="57"/>
        <v>21.870327388166782</v>
      </c>
      <c r="AJ69" s="36"/>
    </row>
    <row r="70" spans="1:36" s="119" customFormat="1" hidden="1" x14ac:dyDescent="0.25">
      <c r="A70" s="112" t="s">
        <v>67</v>
      </c>
      <c r="B70" s="113">
        <v>0</v>
      </c>
      <c r="C70" s="113">
        <v>879088826.47000003</v>
      </c>
      <c r="D70" s="113">
        <v>686673733.38</v>
      </c>
      <c r="E70" s="114">
        <f>F70+G70+H70+I70</f>
        <v>192415093.09</v>
      </c>
      <c r="F70" s="113">
        <v>0</v>
      </c>
      <c r="G70" s="113">
        <v>182275016.88</v>
      </c>
      <c r="H70" s="113">
        <v>0</v>
      </c>
      <c r="I70" s="113">
        <v>10140076.210000001</v>
      </c>
      <c r="J70" s="113">
        <v>81125</v>
      </c>
      <c r="K70" s="113">
        <v>115783869.29000001</v>
      </c>
      <c r="L70" s="113">
        <v>78641270.959999993</v>
      </c>
      <c r="M70" s="114">
        <f>N70+O70+P70+Q70</f>
        <v>37223723.329999998</v>
      </c>
      <c r="N70" s="113">
        <v>0</v>
      </c>
      <c r="O70" s="113">
        <v>32080890.84</v>
      </c>
      <c r="P70" s="113">
        <v>0</v>
      </c>
      <c r="Q70" s="113">
        <v>5142832.49</v>
      </c>
      <c r="R70" s="115">
        <f t="shared" si="48"/>
        <v>0</v>
      </c>
      <c r="S70" s="115">
        <f t="shared" si="44"/>
        <v>686.67373338000004</v>
      </c>
      <c r="T70" s="115"/>
      <c r="U70" s="115"/>
      <c r="V70" s="115">
        <f t="shared" si="45"/>
        <v>182.27501687999998</v>
      </c>
      <c r="W70" s="115">
        <f t="shared" si="50"/>
        <v>10.14007621</v>
      </c>
      <c r="X70" s="115">
        <f t="shared" si="52"/>
        <v>8.1125000000000003E-2</v>
      </c>
      <c r="Y70" s="115">
        <f t="shared" si="46"/>
        <v>78.64127096</v>
      </c>
      <c r="Z70" s="115"/>
      <c r="AA70" s="115"/>
      <c r="AB70" s="115">
        <f t="shared" si="55"/>
        <v>32.080890840000002</v>
      </c>
      <c r="AC70" s="115">
        <f t="shared" si="51"/>
        <v>5.14283249</v>
      </c>
      <c r="AD70" s="115"/>
      <c r="AE70" s="115">
        <f t="shared" si="56"/>
        <v>11.452494414327701</v>
      </c>
      <c r="AF70" s="115"/>
      <c r="AG70" s="115"/>
      <c r="AH70" s="115">
        <f t="shared" si="57"/>
        <v>17.600267655506691</v>
      </c>
      <c r="AI70" s="117">
        <f t="shared" si="57"/>
        <v>50.717887947708036</v>
      </c>
      <c r="AJ70" s="118"/>
    </row>
    <row r="71" spans="1:36" hidden="1" x14ac:dyDescent="0.25">
      <c r="A71" s="108" t="s">
        <v>73</v>
      </c>
      <c r="B71" s="31">
        <v>19618831.149999999</v>
      </c>
      <c r="C71" s="31">
        <v>0</v>
      </c>
      <c r="D71" s="31">
        <v>17029291.149999999</v>
      </c>
      <c r="E71" s="210">
        <f>F71+G71+H71+I71-E72</f>
        <v>2589540</v>
      </c>
      <c r="F71" s="31">
        <v>2589540</v>
      </c>
      <c r="G71" s="31">
        <v>0</v>
      </c>
      <c r="H71" s="31">
        <v>0</v>
      </c>
      <c r="I71" s="31">
        <v>0</v>
      </c>
      <c r="J71" s="31">
        <v>4337831.17</v>
      </c>
      <c r="K71" s="31">
        <v>0</v>
      </c>
      <c r="L71" s="31">
        <v>3474651.17</v>
      </c>
      <c r="M71" s="210">
        <f>N71+O71+P71+Q71-M72</f>
        <v>863180</v>
      </c>
      <c r="N71" s="31">
        <v>863180</v>
      </c>
      <c r="O71" s="31">
        <v>0</v>
      </c>
      <c r="P71" s="31">
        <v>0</v>
      </c>
      <c r="Q71" s="31">
        <v>0</v>
      </c>
      <c r="R71" s="33">
        <f t="shared" si="48"/>
        <v>19.618831149999998</v>
      </c>
      <c r="S71" s="33">
        <f t="shared" si="44"/>
        <v>17.029291149999999</v>
      </c>
      <c r="T71" s="33">
        <f>E71/1000000</f>
        <v>2.58954</v>
      </c>
      <c r="U71" s="33">
        <f>F71/1000000</f>
        <v>2.58954</v>
      </c>
      <c r="V71" s="33">
        <f t="shared" si="45"/>
        <v>0</v>
      </c>
      <c r="W71" s="33">
        <f t="shared" si="50"/>
        <v>0</v>
      </c>
      <c r="X71" s="33">
        <f t="shared" si="52"/>
        <v>4.3378311700000003</v>
      </c>
      <c r="Y71" s="33">
        <f t="shared" si="46"/>
        <v>3.47465117</v>
      </c>
      <c r="Z71" s="33">
        <f>M71/1000000</f>
        <v>0.86317999999999995</v>
      </c>
      <c r="AA71" s="33">
        <f>N71/1000000</f>
        <v>0.86317999999999995</v>
      </c>
      <c r="AB71" s="33">
        <f t="shared" si="55"/>
        <v>0</v>
      </c>
      <c r="AC71" s="33">
        <f t="shared" si="51"/>
        <v>0</v>
      </c>
      <c r="AD71" s="33">
        <f>X71/R71%</f>
        <v>22.11054846659405</v>
      </c>
      <c r="AE71" s="33">
        <f t="shared" si="56"/>
        <v>20.40396831197522</v>
      </c>
      <c r="AF71" s="33">
        <f>Z71/T71%</f>
        <v>33.333333333333336</v>
      </c>
      <c r="AG71" s="33">
        <f>AA71/U71%</f>
        <v>33.333333333333336</v>
      </c>
      <c r="AH71" s="33"/>
      <c r="AI71" s="35"/>
      <c r="AJ71" s="36"/>
    </row>
    <row r="72" spans="1:36" s="119" customFormat="1" hidden="1" x14ac:dyDescent="0.25">
      <c r="A72" s="112" t="s">
        <v>67</v>
      </c>
      <c r="B72" s="113"/>
      <c r="C72" s="113"/>
      <c r="D72" s="113"/>
      <c r="E72" s="114">
        <f>F72+G72+H72+I72</f>
        <v>0</v>
      </c>
      <c r="F72" s="113"/>
      <c r="G72" s="113"/>
      <c r="H72" s="113"/>
      <c r="I72" s="113"/>
      <c r="J72" s="113"/>
      <c r="K72" s="113"/>
      <c r="L72" s="113"/>
      <c r="M72" s="114">
        <f>N72+O72+P72+Q72</f>
        <v>0</v>
      </c>
      <c r="N72" s="113"/>
      <c r="O72" s="113"/>
      <c r="P72" s="113"/>
      <c r="Q72" s="113"/>
      <c r="R72" s="115"/>
      <c r="S72" s="115">
        <f t="shared" si="44"/>
        <v>0</v>
      </c>
      <c r="T72" s="115"/>
      <c r="U72" s="115"/>
      <c r="V72" s="115">
        <f t="shared" ref="V72:V109" si="58">G72/1000000</f>
        <v>0</v>
      </c>
      <c r="W72" s="115">
        <f t="shared" si="50"/>
        <v>0</v>
      </c>
      <c r="X72" s="115"/>
      <c r="Y72" s="115">
        <f t="shared" si="46"/>
        <v>0</v>
      </c>
      <c r="Z72" s="115"/>
      <c r="AA72" s="115"/>
      <c r="AB72" s="115">
        <f t="shared" si="55"/>
        <v>0</v>
      </c>
      <c r="AC72" s="115"/>
      <c r="AD72" s="115"/>
      <c r="AE72" s="115" t="e">
        <f t="shared" si="56"/>
        <v>#DIV/0!</v>
      </c>
      <c r="AF72" s="115"/>
      <c r="AG72" s="115"/>
      <c r="AH72" s="115" t="e">
        <f t="shared" si="57"/>
        <v>#DIV/0!</v>
      </c>
      <c r="AI72" s="117"/>
      <c r="AJ72" s="118"/>
    </row>
    <row r="73" spans="1:36" ht="26.4" x14ac:dyDescent="0.25">
      <c r="A73" s="108" t="s">
        <v>74</v>
      </c>
      <c r="B73" s="31">
        <v>389836089.43000001</v>
      </c>
      <c r="C73" s="31">
        <v>16779603.890000001</v>
      </c>
      <c r="D73" s="31">
        <v>249264791.84</v>
      </c>
      <c r="E73" s="216">
        <f>F73+G73+H73+I73-E74</f>
        <v>143416632.58999997</v>
      </c>
      <c r="F73" s="31">
        <v>80834623.079999998</v>
      </c>
      <c r="G73" s="31">
        <v>53648316.689999998</v>
      </c>
      <c r="H73" s="31">
        <v>4949065.2</v>
      </c>
      <c r="I73" s="31">
        <v>17918896.510000002</v>
      </c>
      <c r="J73" s="31">
        <v>130812189.98999999</v>
      </c>
      <c r="K73" s="31">
        <v>3585351.24</v>
      </c>
      <c r="L73" s="31">
        <v>80621382.739999995</v>
      </c>
      <c r="M73" s="216">
        <f>N73+O73+P73+Q73-M74</f>
        <v>50914176.910000004</v>
      </c>
      <c r="N73" s="31">
        <v>33583803.950000003</v>
      </c>
      <c r="O73" s="31">
        <v>15966334.119999999</v>
      </c>
      <c r="P73" s="31">
        <v>732899.4</v>
      </c>
      <c r="Q73" s="31">
        <v>3493121.02</v>
      </c>
      <c r="R73" s="33">
        <f t="shared" si="48"/>
        <v>389.83608943000002</v>
      </c>
      <c r="S73" s="33">
        <f t="shared" si="44"/>
        <v>249.26479184000002</v>
      </c>
      <c r="T73" s="33">
        <f t="shared" ref="T73:U75" si="59">E73/1000000</f>
        <v>143.41663258999998</v>
      </c>
      <c r="U73" s="33">
        <f t="shared" si="59"/>
        <v>80.83462308</v>
      </c>
      <c r="V73" s="33">
        <f t="shared" si="58"/>
        <v>53.648316689999994</v>
      </c>
      <c r="W73" s="33">
        <f t="shared" si="50"/>
        <v>22.867961709999999</v>
      </c>
      <c r="X73" s="33">
        <f t="shared" si="52"/>
        <v>130.81218999000001</v>
      </c>
      <c r="Y73" s="33">
        <f t="shared" si="46"/>
        <v>80.621382740000001</v>
      </c>
      <c r="Z73" s="33">
        <f>M73/1000000</f>
        <v>50.914176910000002</v>
      </c>
      <c r="AA73" s="33">
        <f>N73/1000000</f>
        <v>33.583803950000004</v>
      </c>
      <c r="AB73" s="33">
        <f t="shared" si="55"/>
        <v>15.966334119999999</v>
      </c>
      <c r="AC73" s="33">
        <f t="shared" si="51"/>
        <v>4.2260204200000002</v>
      </c>
      <c r="AD73" s="33">
        <f>X73/R73%</f>
        <v>33.555690080225112</v>
      </c>
      <c r="AE73" s="33">
        <f t="shared" si="56"/>
        <v>32.343670417661656</v>
      </c>
      <c r="AF73" s="33">
        <f>Z73/T73%</f>
        <v>35.500887163871468</v>
      </c>
      <c r="AG73" s="33">
        <f>AA73/U73%</f>
        <v>41.546311061242847</v>
      </c>
      <c r="AH73" s="33">
        <f t="shared" si="57"/>
        <v>29.761109211048389</v>
      </c>
      <c r="AI73" s="35">
        <f>AC73/W73%</f>
        <v>18.480092251300174</v>
      </c>
      <c r="AJ73" s="36"/>
    </row>
    <row r="74" spans="1:36" s="119" customFormat="1" hidden="1" x14ac:dyDescent="0.25">
      <c r="A74" s="112" t="s">
        <v>67</v>
      </c>
      <c r="B74" s="113">
        <v>38404500</v>
      </c>
      <c r="C74" s="113">
        <v>16779603.890000001</v>
      </c>
      <c r="D74" s="113">
        <v>41249835</v>
      </c>
      <c r="E74" s="114">
        <f>F74+G74+H74+I74</f>
        <v>13934268.890000001</v>
      </c>
      <c r="F74" s="113">
        <v>0</v>
      </c>
      <c r="G74" s="113">
        <v>13793268.890000001</v>
      </c>
      <c r="H74" s="113">
        <v>140000</v>
      </c>
      <c r="I74" s="113">
        <v>1000</v>
      </c>
      <c r="J74" s="113">
        <v>0</v>
      </c>
      <c r="K74" s="113">
        <v>3585351.24</v>
      </c>
      <c r="L74" s="113">
        <v>723369.66</v>
      </c>
      <c r="M74" s="114">
        <f>N74+O74+P74+Q74</f>
        <v>2861981.58</v>
      </c>
      <c r="N74" s="113">
        <v>0</v>
      </c>
      <c r="O74" s="113">
        <v>2721981.58</v>
      </c>
      <c r="P74" s="113">
        <v>140000</v>
      </c>
      <c r="Q74" s="113">
        <v>0</v>
      </c>
      <c r="R74" s="115">
        <f t="shared" si="48"/>
        <v>38.404499999999999</v>
      </c>
      <c r="S74" s="115">
        <f t="shared" si="44"/>
        <v>41.249834999999997</v>
      </c>
      <c r="T74" s="115">
        <f t="shared" si="59"/>
        <v>13.93426889</v>
      </c>
      <c r="U74" s="115">
        <f t="shared" si="59"/>
        <v>0</v>
      </c>
      <c r="V74" s="115">
        <f t="shared" si="58"/>
        <v>13.79326889</v>
      </c>
      <c r="W74" s="115">
        <f t="shared" si="50"/>
        <v>0.14099999999999999</v>
      </c>
      <c r="X74" s="115">
        <f t="shared" si="52"/>
        <v>0</v>
      </c>
      <c r="Y74" s="115">
        <f t="shared" si="46"/>
        <v>0.72336966000000003</v>
      </c>
      <c r="Z74" s="115"/>
      <c r="AA74" s="115"/>
      <c r="AB74" s="115">
        <f t="shared" si="55"/>
        <v>2.72198158</v>
      </c>
      <c r="AC74" s="115">
        <f t="shared" si="51"/>
        <v>0.14000000000000001</v>
      </c>
      <c r="AD74" s="115">
        <f>X74/R74%</f>
        <v>0</v>
      </c>
      <c r="AE74" s="115">
        <f t="shared" si="56"/>
        <v>1.7536304327035492</v>
      </c>
      <c r="AF74" s="115"/>
      <c r="AG74" s="115"/>
      <c r="AH74" s="115">
        <f t="shared" si="57"/>
        <v>19.73412975348732</v>
      </c>
      <c r="AI74" s="117">
        <f t="shared" si="57"/>
        <v>99.290780141843996</v>
      </c>
      <c r="AJ74" s="118"/>
    </row>
    <row r="75" spans="1:36" s="44" customFormat="1" ht="13.5" customHeight="1" x14ac:dyDescent="0.25">
      <c r="A75" s="37" t="s">
        <v>75</v>
      </c>
      <c r="B75" s="38">
        <v>10067446185.68</v>
      </c>
      <c r="C75" s="38">
        <v>2528497803.2800002</v>
      </c>
      <c r="D75" s="38">
        <v>7784456082.5699997</v>
      </c>
      <c r="E75" s="210">
        <f>F75+G75+H75+I75-E76</f>
        <v>3866681341.5999994</v>
      </c>
      <c r="F75" s="38">
        <v>2002110857.45</v>
      </c>
      <c r="G75" s="38">
        <v>1318494931.45</v>
      </c>
      <c r="H75" s="38">
        <v>681802524.17999995</v>
      </c>
      <c r="I75" s="107">
        <v>809079593.30999994</v>
      </c>
      <c r="J75" s="107">
        <v>3714527055.6100001</v>
      </c>
      <c r="K75" s="107">
        <v>617343897.01999998</v>
      </c>
      <c r="L75" s="107">
        <v>2841098610.8400002</v>
      </c>
      <c r="M75" s="210">
        <f>N75+O75+P75+Q75-M76</f>
        <v>1246970681.5899999</v>
      </c>
      <c r="N75" s="107">
        <v>711991574.53999996</v>
      </c>
      <c r="O75" s="107">
        <v>289137590.86000001</v>
      </c>
      <c r="P75" s="107">
        <v>285634025.45999998</v>
      </c>
      <c r="Q75" s="107">
        <v>204009150.93000001</v>
      </c>
      <c r="R75" s="40">
        <f t="shared" si="48"/>
        <v>10067.446185680001</v>
      </c>
      <c r="S75" s="40">
        <f t="shared" si="44"/>
        <v>7784.45608257</v>
      </c>
      <c r="T75" s="40">
        <f t="shared" si="59"/>
        <v>3866.6813415999995</v>
      </c>
      <c r="U75" s="40">
        <f t="shared" si="59"/>
        <v>2002.1108574500001</v>
      </c>
      <c r="V75" s="40">
        <f t="shared" si="58"/>
        <v>1318.49493145</v>
      </c>
      <c r="W75" s="40">
        <f t="shared" si="50"/>
        <v>1490.8821174899997</v>
      </c>
      <c r="X75" s="40">
        <f t="shared" si="52"/>
        <v>3714.5270556099999</v>
      </c>
      <c r="Y75" s="40">
        <f t="shared" si="46"/>
        <v>2841.0986108400002</v>
      </c>
      <c r="Z75" s="40">
        <f>M75/1000000</f>
        <v>1246.9706815899999</v>
      </c>
      <c r="AA75" s="40">
        <f>N75/1000000</f>
        <v>711.99157453999999</v>
      </c>
      <c r="AB75" s="40">
        <f t="shared" si="55"/>
        <v>289.13759085999999</v>
      </c>
      <c r="AC75" s="40">
        <f>(P75+Q75)/1000000</f>
        <v>489.64317639000001</v>
      </c>
      <c r="AD75" s="40">
        <f>X75/R75%</f>
        <v>36.896418288220566</v>
      </c>
      <c r="AE75" s="40">
        <f t="shared" si="56"/>
        <v>36.497072893781748</v>
      </c>
      <c r="AF75" s="40">
        <f>Z75/T75%</f>
        <v>32.249119372066332</v>
      </c>
      <c r="AG75" s="40">
        <f>AA75/U75%</f>
        <v>35.56204552263565</v>
      </c>
      <c r="AH75" s="40">
        <f t="shared" si="57"/>
        <v>21.929366883649994</v>
      </c>
      <c r="AI75" s="41">
        <f t="shared" si="57"/>
        <v>32.842514552012148</v>
      </c>
      <c r="AJ75" s="42"/>
    </row>
    <row r="76" spans="1:36" hidden="1" x14ac:dyDescent="0.25">
      <c r="A76" s="108" t="s">
        <v>61</v>
      </c>
      <c r="B76" s="125">
        <v>1982000405.3900001</v>
      </c>
      <c r="C76" s="125">
        <v>2528497803.2799997</v>
      </c>
      <c r="D76" s="125">
        <v>3565691643.8800001</v>
      </c>
      <c r="E76" s="215">
        <f>F76+G76+H76+I76</f>
        <v>944806564.79000008</v>
      </c>
      <c r="F76" s="125">
        <v>0</v>
      </c>
      <c r="G76" s="125">
        <v>944630564.79000008</v>
      </c>
      <c r="H76" s="125">
        <v>176000</v>
      </c>
      <c r="I76" s="125">
        <v>0</v>
      </c>
      <c r="J76" s="125">
        <v>0</v>
      </c>
      <c r="K76" s="125">
        <v>617343897.01999998</v>
      </c>
      <c r="L76" s="125">
        <v>373542236.81999999</v>
      </c>
      <c r="M76" s="215">
        <f>N76+O76+P76+Q76</f>
        <v>243801660.19999999</v>
      </c>
      <c r="N76" s="125">
        <v>0</v>
      </c>
      <c r="O76" s="125">
        <v>243625660.19999999</v>
      </c>
      <c r="P76" s="125">
        <v>176000</v>
      </c>
      <c r="Q76" s="125">
        <v>0</v>
      </c>
      <c r="R76" s="33">
        <f t="shared" si="48"/>
        <v>1982.0004053900002</v>
      </c>
      <c r="S76" s="33">
        <f t="shared" si="44"/>
        <v>3565.6916438799999</v>
      </c>
      <c r="T76" s="33"/>
      <c r="U76" s="33"/>
      <c r="V76" s="33">
        <f t="shared" si="58"/>
        <v>944.63056479000011</v>
      </c>
      <c r="W76" s="33">
        <f t="shared" si="50"/>
        <v>0.17599999999999999</v>
      </c>
      <c r="X76" s="33">
        <f t="shared" si="52"/>
        <v>0</v>
      </c>
      <c r="Y76" s="33">
        <f t="shared" si="46"/>
        <v>373.54223681999997</v>
      </c>
      <c r="Z76" s="33"/>
      <c r="AA76" s="33"/>
      <c r="AB76" s="33">
        <f t="shared" si="55"/>
        <v>243.6256602</v>
      </c>
      <c r="AC76" s="33">
        <f t="shared" si="51"/>
        <v>0.17599999999999999</v>
      </c>
      <c r="AD76" s="33">
        <f>X76/R76%</f>
        <v>0</v>
      </c>
      <c r="AE76" s="33">
        <f t="shared" si="56"/>
        <v>10.476010662927958</v>
      </c>
      <c r="AF76" s="40"/>
      <c r="AG76" s="33"/>
      <c r="AH76" s="33">
        <f t="shared" si="57"/>
        <v>25.790575626161342</v>
      </c>
      <c r="AI76" s="35">
        <f t="shared" si="57"/>
        <v>100</v>
      </c>
      <c r="AJ76" s="36"/>
    </row>
    <row r="77" spans="1:36" x14ac:dyDescent="0.25">
      <c r="A77" s="126" t="s">
        <v>76</v>
      </c>
      <c r="B77" s="125">
        <v>5375348899.7399998</v>
      </c>
      <c r="C77" s="125">
        <v>1679423747.8199999</v>
      </c>
      <c r="D77" s="125">
        <v>4341119742.8199997</v>
      </c>
      <c r="E77" s="210">
        <f>F77+G77+H77+I77-E78</f>
        <v>2122641517.6599998</v>
      </c>
      <c r="F77" s="125">
        <v>1075644944</v>
      </c>
      <c r="G77" s="125">
        <v>802014058.54999995</v>
      </c>
      <c r="H77" s="125">
        <v>453755615.25999999</v>
      </c>
      <c r="I77" s="125">
        <v>382238286.93000001</v>
      </c>
      <c r="J77" s="125">
        <v>1083145529.54</v>
      </c>
      <c r="K77" s="125">
        <v>507199276.89999998</v>
      </c>
      <c r="L77" s="125">
        <v>653363600.36000001</v>
      </c>
      <c r="M77" s="210">
        <f>N77+O77+P77+Q77-M78</f>
        <v>741422907.94000006</v>
      </c>
      <c r="N77" s="125">
        <v>384285128.57999998</v>
      </c>
      <c r="O77" s="125">
        <v>214785476.63</v>
      </c>
      <c r="P77" s="125">
        <v>232616060.47999999</v>
      </c>
      <c r="Q77" s="125">
        <v>105294540.39</v>
      </c>
      <c r="R77" s="33">
        <f>B77/1000000</f>
        <v>5375.34889974</v>
      </c>
      <c r="S77" s="33">
        <f t="shared" si="44"/>
        <v>4341.1197428199994</v>
      </c>
      <c r="T77" s="33">
        <f>E77/1000000</f>
        <v>2122.6415176599999</v>
      </c>
      <c r="U77" s="33">
        <f>F77/1000000</f>
        <v>1075.6449439999999</v>
      </c>
      <c r="V77" s="33">
        <f t="shared" si="58"/>
        <v>802.01405854999996</v>
      </c>
      <c r="W77" s="33">
        <f t="shared" si="50"/>
        <v>835.99390219000009</v>
      </c>
      <c r="X77" s="33">
        <f>J77/1000000</f>
        <v>1083.1455295399999</v>
      </c>
      <c r="Y77" s="33">
        <f t="shared" si="46"/>
        <v>653.36360035999996</v>
      </c>
      <c r="Z77" s="33">
        <f>M77/1000000</f>
        <v>741.42290794000007</v>
      </c>
      <c r="AA77" s="33">
        <f>N77/1000000</f>
        <v>384.28512857999999</v>
      </c>
      <c r="AB77" s="33">
        <f t="shared" si="55"/>
        <v>214.78547663000001</v>
      </c>
      <c r="AC77" s="33">
        <f t="shared" si="51"/>
        <v>337.91060087</v>
      </c>
      <c r="AD77" s="33">
        <f>X77/R77%</f>
        <v>20.150236751932336</v>
      </c>
      <c r="AE77" s="33">
        <f>Y77/S77%</f>
        <v>15.050577709602035</v>
      </c>
      <c r="AF77" s="33">
        <f>Z77/T77%</f>
        <v>34.929256860920383</v>
      </c>
      <c r="AG77" s="33">
        <f>AA77/U77%</f>
        <v>35.726020070429485</v>
      </c>
      <c r="AH77" s="33">
        <f t="shared" si="57"/>
        <v>26.78076205027142</v>
      </c>
      <c r="AI77" s="35">
        <f t="shared" si="57"/>
        <v>40.420223160096874</v>
      </c>
      <c r="AJ77" s="36"/>
    </row>
    <row r="78" spans="1:36" s="119" customFormat="1" hidden="1" x14ac:dyDescent="0.25">
      <c r="A78" s="112" t="s">
        <v>67</v>
      </c>
      <c r="B78" s="127">
        <v>1975341543.3900001</v>
      </c>
      <c r="C78" s="127">
        <v>1679423747.8199999</v>
      </c>
      <c r="D78" s="127">
        <v>3063753904.1300001</v>
      </c>
      <c r="E78" s="114">
        <f>F78+G78+H78+I78</f>
        <v>591011387.08000004</v>
      </c>
      <c r="F78" s="127">
        <v>0</v>
      </c>
      <c r="G78" s="127">
        <v>591011387.08000004</v>
      </c>
      <c r="H78" s="127">
        <v>0</v>
      </c>
      <c r="I78" s="127">
        <v>0</v>
      </c>
      <c r="J78" s="127">
        <v>0</v>
      </c>
      <c r="K78" s="127">
        <v>507199276.89999998</v>
      </c>
      <c r="L78" s="127">
        <v>311640978.75999999</v>
      </c>
      <c r="M78" s="114">
        <f>N78+O78+P78+Q78</f>
        <v>195558298.13999999</v>
      </c>
      <c r="N78" s="127">
        <v>0</v>
      </c>
      <c r="O78" s="127">
        <v>195558298.13999999</v>
      </c>
      <c r="P78" s="127">
        <v>0</v>
      </c>
      <c r="Q78" s="127">
        <v>0</v>
      </c>
      <c r="R78" s="115"/>
      <c r="S78" s="115">
        <f t="shared" si="44"/>
        <v>3063.7539041300001</v>
      </c>
      <c r="T78" s="115"/>
      <c r="U78" s="115"/>
      <c r="V78" s="115">
        <f t="shared" si="58"/>
        <v>591.01138708000008</v>
      </c>
      <c r="W78" s="115">
        <f t="shared" si="50"/>
        <v>0</v>
      </c>
      <c r="X78" s="115"/>
      <c r="Y78" s="115">
        <f t="shared" ref="Y78:Y84" si="60">L78/1000000</f>
        <v>311.64097876</v>
      </c>
      <c r="Z78" s="115"/>
      <c r="AA78" s="115"/>
      <c r="AB78" s="115">
        <f t="shared" si="55"/>
        <v>195.55829813999998</v>
      </c>
      <c r="AC78" s="115">
        <f t="shared" si="51"/>
        <v>0</v>
      </c>
      <c r="AD78" s="115"/>
      <c r="AE78" s="115">
        <f t="shared" ref="AE78:AE83" si="61">Y78/S78%</f>
        <v>10.171867209696636</v>
      </c>
      <c r="AF78" s="115"/>
      <c r="AG78" s="115"/>
      <c r="AH78" s="115">
        <f t="shared" si="57"/>
        <v>33.088753011374543</v>
      </c>
      <c r="AI78" s="117" t="e">
        <f t="shared" si="57"/>
        <v>#DIV/0!</v>
      </c>
      <c r="AJ78" s="118"/>
    </row>
    <row r="79" spans="1:36" x14ac:dyDescent="0.25">
      <c r="A79" s="108" t="s">
        <v>77</v>
      </c>
      <c r="B79" s="125">
        <v>3705043316.5599999</v>
      </c>
      <c r="C79" s="125">
        <v>837213826.09000003</v>
      </c>
      <c r="D79" s="125">
        <v>3382740275.71</v>
      </c>
      <c r="E79" s="210">
        <f>F79+G79+H79+I79-E80</f>
        <v>811290354.56000006</v>
      </c>
      <c r="F79" s="125">
        <v>218323006.44999999</v>
      </c>
      <c r="G79" s="125">
        <v>494568861.56999999</v>
      </c>
      <c r="H79" s="125">
        <v>121234958.59999999</v>
      </c>
      <c r="I79" s="125">
        <v>325390040.31999999</v>
      </c>
      <c r="J79" s="125">
        <v>2220199796.5999999</v>
      </c>
      <c r="K79" s="125">
        <v>100257666.29000001</v>
      </c>
      <c r="L79" s="125">
        <v>2158488047.2199998</v>
      </c>
      <c r="M79" s="210">
        <f>N79+O79+P79+Q79-M80</f>
        <v>117321443.39999998</v>
      </c>
      <c r="N79" s="125">
        <v>32200226.989999998</v>
      </c>
      <c r="O79" s="125">
        <v>64805767.920000002</v>
      </c>
      <c r="P79" s="125">
        <v>10192714.880000001</v>
      </c>
      <c r="Q79" s="125">
        <v>54770705.880000003</v>
      </c>
      <c r="R79" s="33">
        <f>B79/1000000</f>
        <v>3705.0433165599998</v>
      </c>
      <c r="S79" s="33">
        <f t="shared" si="44"/>
        <v>3382.7402757099999</v>
      </c>
      <c r="T79" s="33">
        <f>E79/1000000</f>
        <v>811.29035456000008</v>
      </c>
      <c r="U79" s="33">
        <f>F79/1000000</f>
        <v>218.32300644999998</v>
      </c>
      <c r="V79" s="33">
        <f t="shared" si="58"/>
        <v>494.56886156999997</v>
      </c>
      <c r="W79" s="33">
        <f t="shared" si="50"/>
        <v>446.62499891999994</v>
      </c>
      <c r="X79" s="33">
        <f>J79/1000000</f>
        <v>2220.1997965999999</v>
      </c>
      <c r="Y79" s="33">
        <f t="shared" si="60"/>
        <v>2158.4880472199998</v>
      </c>
      <c r="Z79" s="33">
        <f>M79/1000000</f>
        <v>117.32144339999998</v>
      </c>
      <c r="AA79" s="33">
        <f>N79/1000000</f>
        <v>32.200226989999997</v>
      </c>
      <c r="AB79" s="33">
        <f t="shared" si="55"/>
        <v>64.805767920000008</v>
      </c>
      <c r="AC79" s="33">
        <f t="shared" si="51"/>
        <v>64.963420760000005</v>
      </c>
      <c r="AD79" s="33">
        <f>X79/R79%</f>
        <v>59.923720369924744</v>
      </c>
      <c r="AE79" s="33">
        <f t="shared" si="61"/>
        <v>63.808861198099436</v>
      </c>
      <c r="AF79" s="33">
        <f>Z79/T79%</f>
        <v>14.461091857012004</v>
      </c>
      <c r="AG79" s="33">
        <f>AA79/U79%</f>
        <v>14.748893171446154</v>
      </c>
      <c r="AH79" s="33">
        <f t="shared" si="57"/>
        <v>13.103487290783988</v>
      </c>
      <c r="AI79" s="35">
        <f t="shared" si="57"/>
        <v>14.545406306653321</v>
      </c>
      <c r="AJ79" s="36"/>
    </row>
    <row r="80" spans="1:36" s="119" customFormat="1" hidden="1" x14ac:dyDescent="0.25">
      <c r="A80" s="112" t="s">
        <v>67</v>
      </c>
      <c r="B80" s="127">
        <v>6658862</v>
      </c>
      <c r="C80" s="127">
        <v>837213826.09000003</v>
      </c>
      <c r="D80" s="127">
        <v>495646175.70999998</v>
      </c>
      <c r="E80" s="114">
        <f>F80+G80+H80+I80</f>
        <v>348226512.38</v>
      </c>
      <c r="F80" s="127">
        <v>0</v>
      </c>
      <c r="G80" s="127">
        <v>348226512.38</v>
      </c>
      <c r="H80" s="127">
        <v>0</v>
      </c>
      <c r="I80" s="127">
        <v>0</v>
      </c>
      <c r="J80" s="127">
        <v>0</v>
      </c>
      <c r="K80" s="127">
        <v>100257666.29000001</v>
      </c>
      <c r="L80" s="127">
        <v>55609694.020000003</v>
      </c>
      <c r="M80" s="114">
        <f>N80+O80+P80+Q80</f>
        <v>44647972.270000003</v>
      </c>
      <c r="N80" s="127">
        <v>0</v>
      </c>
      <c r="O80" s="127">
        <v>44647972.270000003</v>
      </c>
      <c r="P80" s="127">
        <v>0</v>
      </c>
      <c r="Q80" s="127">
        <v>0</v>
      </c>
      <c r="R80" s="115"/>
      <c r="S80" s="115">
        <f t="shared" si="44"/>
        <v>495.64617570999997</v>
      </c>
      <c r="T80" s="115"/>
      <c r="U80" s="115"/>
      <c r="V80" s="115">
        <f t="shared" si="58"/>
        <v>348.22651237999997</v>
      </c>
      <c r="W80" s="115">
        <f t="shared" si="50"/>
        <v>0</v>
      </c>
      <c r="X80" s="115"/>
      <c r="Y80" s="115">
        <f t="shared" si="60"/>
        <v>55.609694020000006</v>
      </c>
      <c r="Z80" s="115"/>
      <c r="AA80" s="115"/>
      <c r="AB80" s="115">
        <f t="shared" si="55"/>
        <v>44.647972270000004</v>
      </c>
      <c r="AC80" s="115">
        <f t="shared" si="51"/>
        <v>0</v>
      </c>
      <c r="AD80" s="115"/>
      <c r="AE80" s="115">
        <f t="shared" si="61"/>
        <v>11.219635446665274</v>
      </c>
      <c r="AF80" s="115"/>
      <c r="AG80" s="115"/>
      <c r="AH80" s="115">
        <f t="shared" si="57"/>
        <v>12.821531584383843</v>
      </c>
      <c r="AI80" s="117" t="e">
        <f t="shared" si="57"/>
        <v>#DIV/0!</v>
      </c>
      <c r="AJ80" s="118"/>
    </row>
    <row r="81" spans="1:36" x14ac:dyDescent="0.25">
      <c r="A81" s="108" t="s">
        <v>78</v>
      </c>
      <c r="B81" s="125">
        <v>743562945.44000006</v>
      </c>
      <c r="C81" s="125">
        <v>9490229.3699999992</v>
      </c>
      <c r="D81" s="125">
        <v>4891564.04</v>
      </c>
      <c r="E81" s="210">
        <f>F81+G81+H81+I81-E82</f>
        <v>743562945.43999994</v>
      </c>
      <c r="F81" s="125">
        <v>549252824.62</v>
      </c>
      <c r="G81" s="125">
        <v>9644568.3300000001</v>
      </c>
      <c r="H81" s="125">
        <v>106728450.31999999</v>
      </c>
      <c r="I81" s="125">
        <v>82535767.5</v>
      </c>
      <c r="J81" s="125">
        <v>285030602.83999997</v>
      </c>
      <c r="K81" s="125">
        <v>7516953.8300000001</v>
      </c>
      <c r="L81" s="125">
        <v>4891564.04</v>
      </c>
      <c r="M81" s="210">
        <f>N81+O81+P81+Q81-M82</f>
        <v>285030602.83999997</v>
      </c>
      <c r="N81" s="125">
        <v>207727479.80000001</v>
      </c>
      <c r="O81" s="125">
        <v>2781365.29</v>
      </c>
      <c r="P81" s="125">
        <v>42813450.020000003</v>
      </c>
      <c r="Q81" s="125">
        <v>34333697.520000003</v>
      </c>
      <c r="R81" s="33">
        <f>B81/1000000</f>
        <v>743.56294544000002</v>
      </c>
      <c r="S81" s="33">
        <f t="shared" si="44"/>
        <v>4.8915640400000004</v>
      </c>
      <c r="T81" s="33">
        <f>E81/1000000</f>
        <v>743.56294543999991</v>
      </c>
      <c r="U81" s="33">
        <f>F81/1000000</f>
        <v>549.25282461999996</v>
      </c>
      <c r="V81" s="33">
        <f t="shared" si="58"/>
        <v>9.6445683300000002</v>
      </c>
      <c r="W81" s="33">
        <f t="shared" si="50"/>
        <v>189.26421782</v>
      </c>
      <c r="X81" s="33">
        <f>J81/1000000</f>
        <v>285.03060283999997</v>
      </c>
      <c r="Y81" s="33">
        <f t="shared" si="60"/>
        <v>4.8915640400000004</v>
      </c>
      <c r="Z81" s="33">
        <f>M81/1000000</f>
        <v>285.03060283999997</v>
      </c>
      <c r="AA81" s="33">
        <f>N81/1000000</f>
        <v>207.72747980000003</v>
      </c>
      <c r="AB81" s="33">
        <f t="shared" si="55"/>
        <v>2.7813652900000001</v>
      </c>
      <c r="AC81" s="33">
        <f t="shared" si="51"/>
        <v>77.147147540000006</v>
      </c>
      <c r="AD81" s="33">
        <f>X81/R81%</f>
        <v>38.333083243051391</v>
      </c>
      <c r="AE81" s="33">
        <f t="shared" si="61"/>
        <v>100</v>
      </c>
      <c r="AF81" s="33">
        <f>Z81/T81%</f>
        <v>38.333083243051391</v>
      </c>
      <c r="AG81" s="33">
        <f>AA81/U81%</f>
        <v>37.820011202257561</v>
      </c>
      <c r="AH81" s="33">
        <f t="shared" si="57"/>
        <v>28.838670584648138</v>
      </c>
      <c r="AI81" s="35">
        <f t="shared" si="57"/>
        <v>40.761612748887856</v>
      </c>
      <c r="AJ81" s="36"/>
    </row>
    <row r="82" spans="1:36" s="119" customFormat="1" hidden="1" x14ac:dyDescent="0.25">
      <c r="A82" s="112" t="s">
        <v>67</v>
      </c>
      <c r="B82" s="127">
        <v>0</v>
      </c>
      <c r="C82" s="127">
        <v>9490229.3699999992</v>
      </c>
      <c r="D82" s="127">
        <v>4891564.04</v>
      </c>
      <c r="E82" s="114">
        <f>F82+G82+H82+I82</f>
        <v>4598665.33</v>
      </c>
      <c r="F82" s="127">
        <v>0</v>
      </c>
      <c r="G82" s="127">
        <v>4422665.33</v>
      </c>
      <c r="H82" s="127">
        <v>176000</v>
      </c>
      <c r="I82" s="127">
        <v>0</v>
      </c>
      <c r="J82" s="127">
        <v>0</v>
      </c>
      <c r="K82" s="127">
        <v>7516953.8300000001</v>
      </c>
      <c r="L82" s="127">
        <v>4891564.04</v>
      </c>
      <c r="M82" s="114">
        <f>N82+O82+P82+Q82</f>
        <v>2625389.79</v>
      </c>
      <c r="N82" s="127">
        <v>0</v>
      </c>
      <c r="O82" s="127">
        <v>2449389.79</v>
      </c>
      <c r="P82" s="127">
        <v>176000</v>
      </c>
      <c r="Q82" s="127">
        <v>0</v>
      </c>
      <c r="R82" s="115"/>
      <c r="S82" s="115">
        <f t="shared" si="44"/>
        <v>4.8915640400000004</v>
      </c>
      <c r="T82" s="115"/>
      <c r="U82" s="115"/>
      <c r="V82" s="115">
        <f t="shared" si="58"/>
        <v>4.4226653300000001</v>
      </c>
      <c r="W82" s="115">
        <f t="shared" si="50"/>
        <v>0.17599999999999999</v>
      </c>
      <c r="X82" s="115"/>
      <c r="Y82" s="115">
        <f t="shared" si="60"/>
        <v>4.8915640400000004</v>
      </c>
      <c r="Z82" s="115"/>
      <c r="AA82" s="115"/>
      <c r="AB82" s="115">
        <f t="shared" si="55"/>
        <v>2.4493897900000001</v>
      </c>
      <c r="AC82" s="115">
        <f t="shared" si="51"/>
        <v>0.17599999999999999</v>
      </c>
      <c r="AD82" s="115"/>
      <c r="AE82" s="115">
        <f t="shared" si="61"/>
        <v>100</v>
      </c>
      <c r="AF82" s="115"/>
      <c r="AG82" s="115"/>
      <c r="AH82" s="115">
        <f t="shared" si="57"/>
        <v>55.382661975013157</v>
      </c>
      <c r="AI82" s="117">
        <f t="shared" si="57"/>
        <v>100</v>
      </c>
      <c r="AJ82" s="118"/>
    </row>
    <row r="83" spans="1:36" ht="26.4" x14ac:dyDescent="0.25">
      <c r="A83" s="108" t="s">
        <v>79</v>
      </c>
      <c r="B83" s="125">
        <v>243491023.94</v>
      </c>
      <c r="C83" s="125">
        <v>2370000</v>
      </c>
      <c r="D83" s="125">
        <v>55704500</v>
      </c>
      <c r="E83" s="210">
        <f>F83+G83+H83+I83-E84</f>
        <v>189186523.94</v>
      </c>
      <c r="F83" s="125">
        <v>158890082.38</v>
      </c>
      <c r="G83" s="125">
        <v>12267443</v>
      </c>
      <c r="H83" s="125">
        <v>83500</v>
      </c>
      <c r="I83" s="125">
        <v>18915498.559999999</v>
      </c>
      <c r="J83" s="125">
        <v>126151126.63</v>
      </c>
      <c r="K83" s="125">
        <v>2370000</v>
      </c>
      <c r="L83" s="125">
        <v>24355399.219999999</v>
      </c>
      <c r="M83" s="210">
        <f>N83+O83+P83+Q83-M84</f>
        <v>103195727.41</v>
      </c>
      <c r="N83" s="125">
        <v>87778739.170000002</v>
      </c>
      <c r="O83" s="125">
        <v>6764981.0199999996</v>
      </c>
      <c r="P83" s="125">
        <v>11800.08</v>
      </c>
      <c r="Q83" s="125">
        <v>9610207.1400000006</v>
      </c>
      <c r="R83" s="33">
        <f>B83/1000000</f>
        <v>243.49102393999999</v>
      </c>
      <c r="S83" s="33">
        <f t="shared" ref="S83:S109" si="62">D83/1000000</f>
        <v>55.704500000000003</v>
      </c>
      <c r="T83" s="33">
        <f>E83/1000000</f>
        <v>189.18652394</v>
      </c>
      <c r="U83" s="33">
        <f>F83/1000000</f>
        <v>158.89008238</v>
      </c>
      <c r="V83" s="33">
        <f t="shared" si="58"/>
        <v>12.267443</v>
      </c>
      <c r="W83" s="33">
        <f t="shared" si="50"/>
        <v>18.99899856</v>
      </c>
      <c r="X83" s="33">
        <f>J83/1000000</f>
        <v>126.15112662999999</v>
      </c>
      <c r="Y83" s="33">
        <f t="shared" si="60"/>
        <v>24.355399219999999</v>
      </c>
      <c r="Z83" s="33">
        <f>M83/1000000</f>
        <v>103.19572741</v>
      </c>
      <c r="AA83" s="33">
        <f>N83/1000000</f>
        <v>87.778739170000009</v>
      </c>
      <c r="AB83" s="33">
        <f t="shared" si="55"/>
        <v>6.7649810199999996</v>
      </c>
      <c r="AC83" s="33">
        <f t="shared" si="51"/>
        <v>9.6220072200000004</v>
      </c>
      <c r="AD83" s="33">
        <f>X83/R83%</f>
        <v>51.809354032321792</v>
      </c>
      <c r="AE83" s="33">
        <f t="shared" si="61"/>
        <v>43.722498577314219</v>
      </c>
      <c r="AF83" s="33">
        <f>Z83/T83%</f>
        <v>54.54708150498513</v>
      </c>
      <c r="AG83" s="33">
        <f>AA83/U83%</f>
        <v>55.244945345342082</v>
      </c>
      <c r="AH83" s="33">
        <f t="shared" si="57"/>
        <v>55.145811722948288</v>
      </c>
      <c r="AI83" s="35">
        <f t="shared" si="57"/>
        <v>50.644812617955168</v>
      </c>
      <c r="AJ83" s="36"/>
    </row>
    <row r="84" spans="1:36" s="119" customFormat="1" hidden="1" x14ac:dyDescent="0.25">
      <c r="A84" s="112" t="s">
        <v>67</v>
      </c>
      <c r="B84" s="127">
        <v>0</v>
      </c>
      <c r="C84" s="127">
        <v>2370000</v>
      </c>
      <c r="D84" s="127">
        <v>1400000</v>
      </c>
      <c r="E84" s="114">
        <f>F84+G84+H84+I84</f>
        <v>970000</v>
      </c>
      <c r="F84" s="127">
        <v>0</v>
      </c>
      <c r="G84" s="127">
        <v>970000</v>
      </c>
      <c r="H84" s="127">
        <v>0</v>
      </c>
      <c r="I84" s="127">
        <v>0</v>
      </c>
      <c r="J84" s="127">
        <v>0</v>
      </c>
      <c r="K84" s="127">
        <v>2370000</v>
      </c>
      <c r="L84" s="127">
        <v>1400000</v>
      </c>
      <c r="M84" s="114">
        <f>N84+O84+P84+Q84</f>
        <v>970000</v>
      </c>
      <c r="N84" s="127">
        <v>0</v>
      </c>
      <c r="O84" s="127">
        <v>970000</v>
      </c>
      <c r="P84" s="127">
        <v>0</v>
      </c>
      <c r="Q84" s="127">
        <v>0</v>
      </c>
      <c r="R84" s="115"/>
      <c r="S84" s="115">
        <f t="shared" si="62"/>
        <v>1.4</v>
      </c>
      <c r="T84" s="115"/>
      <c r="U84" s="115"/>
      <c r="V84" s="115">
        <f t="shared" si="58"/>
        <v>0.97</v>
      </c>
      <c r="W84" s="115">
        <f t="shared" si="50"/>
        <v>0</v>
      </c>
      <c r="X84" s="115"/>
      <c r="Y84" s="115">
        <f t="shared" si="60"/>
        <v>1.4</v>
      </c>
      <c r="Z84" s="115"/>
      <c r="AA84" s="115"/>
      <c r="AB84" s="115">
        <f t="shared" si="55"/>
        <v>0.97</v>
      </c>
      <c r="AC84" s="115">
        <f t="shared" si="51"/>
        <v>0</v>
      </c>
      <c r="AD84" s="115"/>
      <c r="AE84" s="115"/>
      <c r="AF84" s="115"/>
      <c r="AG84" s="115"/>
      <c r="AH84" s="115"/>
      <c r="AI84" s="117" t="e">
        <f t="shared" si="57"/>
        <v>#DIV/0!</v>
      </c>
      <c r="AJ84" s="118"/>
    </row>
    <row r="85" spans="1:36" s="44" customFormat="1" x14ac:dyDescent="0.25">
      <c r="A85" s="106" t="s">
        <v>80</v>
      </c>
      <c r="B85" s="38">
        <v>83930552.200000003</v>
      </c>
      <c r="C85" s="38">
        <v>0</v>
      </c>
      <c r="D85" s="38">
        <v>64695200</v>
      </c>
      <c r="E85" s="210">
        <f>F85+G85+H85+I85-E86</f>
        <v>19235352.200000003</v>
      </c>
      <c r="F85" s="38">
        <v>17331102.100000001</v>
      </c>
      <c r="G85" s="38">
        <v>1904250.1</v>
      </c>
      <c r="H85" s="38">
        <v>0</v>
      </c>
      <c r="I85" s="38">
        <v>0</v>
      </c>
      <c r="J85" s="38">
        <v>27037776.850000001</v>
      </c>
      <c r="K85" s="38">
        <v>0</v>
      </c>
      <c r="L85" s="38">
        <v>26052444.649999999</v>
      </c>
      <c r="M85" s="210">
        <f>N85+O85+P85+Q85-M86</f>
        <v>985332.20000000007</v>
      </c>
      <c r="N85" s="38">
        <v>727657.8</v>
      </c>
      <c r="O85" s="38">
        <v>257674.4</v>
      </c>
      <c r="P85" s="38">
        <v>0</v>
      </c>
      <c r="Q85" s="38">
        <v>0</v>
      </c>
      <c r="R85" s="40">
        <f t="shared" si="48"/>
        <v>83.930552200000008</v>
      </c>
      <c r="S85" s="40">
        <f t="shared" si="62"/>
        <v>64.6952</v>
      </c>
      <c r="T85" s="40">
        <f>E85/1000000</f>
        <v>19.235352200000001</v>
      </c>
      <c r="U85" s="40">
        <f>F85/1000000</f>
        <v>17.331102100000003</v>
      </c>
      <c r="V85" s="40">
        <f t="shared" si="58"/>
        <v>1.9042501000000001</v>
      </c>
      <c r="W85" s="40">
        <f t="shared" si="50"/>
        <v>0</v>
      </c>
      <c r="X85" s="40">
        <f t="shared" si="52"/>
        <v>27.03777685</v>
      </c>
      <c r="Y85" s="40">
        <f>L85/1000000</f>
        <v>26.052444649999998</v>
      </c>
      <c r="Z85" s="40">
        <f>M85/1000000</f>
        <v>0.9853322000000001</v>
      </c>
      <c r="AA85" s="40">
        <f>N85/1000000</f>
        <v>0.72765780000000002</v>
      </c>
      <c r="AB85" s="40">
        <f t="shared" si="55"/>
        <v>0.25767439999999997</v>
      </c>
      <c r="AC85" s="40">
        <f>(P85+Q85)/1000000</f>
        <v>0</v>
      </c>
      <c r="AD85" s="40">
        <f>X85/R85%</f>
        <v>32.214463197586348</v>
      </c>
      <c r="AE85" s="40">
        <f t="shared" si="56"/>
        <v>40.269517135738042</v>
      </c>
      <c r="AF85" s="40">
        <f>Z85/T85%</f>
        <v>5.1225066728957538</v>
      </c>
      <c r="AG85" s="40">
        <f>AA85/U85%</f>
        <v>4.1985662296686828</v>
      </c>
      <c r="AH85" s="40">
        <f>AB85/V85%</f>
        <v>13.531541891477383</v>
      </c>
      <c r="AI85" s="41"/>
      <c r="AJ85" s="42"/>
    </row>
    <row r="86" spans="1:36" hidden="1" x14ac:dyDescent="0.25">
      <c r="A86" s="108" t="s">
        <v>61</v>
      </c>
      <c r="B86" s="128"/>
      <c r="C86" s="128"/>
      <c r="D86" s="128"/>
      <c r="E86" s="215">
        <f>F86+G86+H86+I86</f>
        <v>0</v>
      </c>
      <c r="F86" s="128"/>
      <c r="G86" s="128"/>
      <c r="H86" s="128"/>
      <c r="I86" s="128"/>
      <c r="J86" s="128"/>
      <c r="K86" s="128"/>
      <c r="L86" s="128"/>
      <c r="M86" s="215">
        <f>N86+O86+P86+Q86</f>
        <v>0</v>
      </c>
      <c r="N86" s="128"/>
      <c r="O86" s="128"/>
      <c r="P86" s="128"/>
      <c r="Q86" s="128"/>
      <c r="R86" s="33"/>
      <c r="S86" s="33">
        <f t="shared" si="62"/>
        <v>0</v>
      </c>
      <c r="T86" s="33"/>
      <c r="U86" s="33"/>
      <c r="V86" s="33">
        <f t="shared" si="58"/>
        <v>0</v>
      </c>
      <c r="W86" s="33"/>
      <c r="X86" s="33"/>
      <c r="Y86" s="33">
        <f t="shared" ref="Y86:Y109" si="63">L86/1000000</f>
        <v>0</v>
      </c>
      <c r="Z86" s="33"/>
      <c r="AA86" s="33"/>
      <c r="AB86" s="33">
        <f t="shared" si="55"/>
        <v>0</v>
      </c>
      <c r="AC86" s="33"/>
      <c r="AD86" s="33"/>
      <c r="AE86" s="33"/>
      <c r="AF86" s="40"/>
      <c r="AG86" s="40"/>
      <c r="AH86" s="33" t="e">
        <f t="shared" ref="AH86:AI91" si="64">AB86/V86%</f>
        <v>#DIV/0!</v>
      </c>
      <c r="AI86" s="41"/>
      <c r="AJ86" s="42"/>
    </row>
    <row r="87" spans="1:36" s="44" customFormat="1" x14ac:dyDescent="0.25">
      <c r="A87" s="106" t="s">
        <v>81</v>
      </c>
      <c r="B87" s="38">
        <v>24506206260.91</v>
      </c>
      <c r="C87" s="38">
        <v>12497307584.84</v>
      </c>
      <c r="D87" s="38">
        <v>17397848070.060001</v>
      </c>
      <c r="E87" s="210">
        <f>F87+G87+H87+I87-E88</f>
        <v>19605446775.689999</v>
      </c>
      <c r="F87" s="38">
        <v>10613402480.280001</v>
      </c>
      <c r="G87" s="38">
        <v>8990472547.4699993</v>
      </c>
      <c r="H87" s="38">
        <v>995600</v>
      </c>
      <c r="I87" s="38">
        <v>795147.94</v>
      </c>
      <c r="J87" s="38">
        <v>13689110135.35</v>
      </c>
      <c r="K87" s="38">
        <v>7477922675.6599998</v>
      </c>
      <c r="L87" s="38">
        <v>10042845691.190001</v>
      </c>
      <c r="M87" s="210">
        <f>N87+O87+P87+Q87-M88</f>
        <v>11124138119.82</v>
      </c>
      <c r="N87" s="38">
        <v>5866712424.3900003</v>
      </c>
      <c r="O87" s="38">
        <v>5256924769.4799995</v>
      </c>
      <c r="P87" s="38">
        <v>293824.18</v>
      </c>
      <c r="Q87" s="38">
        <v>256101.77</v>
      </c>
      <c r="R87" s="40">
        <f t="shared" si="48"/>
        <v>24506.206260909999</v>
      </c>
      <c r="S87" s="40">
        <f t="shared" si="62"/>
        <v>17397.848070060001</v>
      </c>
      <c r="T87" s="40">
        <f>E87/1000000</f>
        <v>19605.446775689998</v>
      </c>
      <c r="U87" s="40">
        <f>F87/1000000</f>
        <v>10613.402480280001</v>
      </c>
      <c r="V87" s="40">
        <f t="shared" si="58"/>
        <v>8990.472547469999</v>
      </c>
      <c r="W87" s="40">
        <f t="shared" si="50"/>
        <v>1.7907479399999999</v>
      </c>
      <c r="X87" s="40">
        <f t="shared" si="52"/>
        <v>13689.11013535</v>
      </c>
      <c r="Y87" s="40">
        <f t="shared" si="63"/>
        <v>10042.845691190001</v>
      </c>
      <c r="Z87" s="40">
        <f>M87/1000000</f>
        <v>11124.13811982</v>
      </c>
      <c r="AA87" s="40">
        <f>N87/1000000</f>
        <v>5866.7124243900007</v>
      </c>
      <c r="AB87" s="40">
        <f t="shared" si="55"/>
        <v>5256.9247694799997</v>
      </c>
      <c r="AC87" s="40">
        <f>(P87+Q87)/1000000</f>
        <v>0.54992595</v>
      </c>
      <c r="AD87" s="40">
        <f t="shared" ref="AD87:AD99" si="65">X87/R87%</f>
        <v>55.859768703512401</v>
      </c>
      <c r="AE87" s="40">
        <f t="shared" si="56"/>
        <v>57.724643017619854</v>
      </c>
      <c r="AF87" s="40">
        <f>Z87/T87%</f>
        <v>56.740038863146459</v>
      </c>
      <c r="AG87" s="40">
        <f>AA87/U87%</f>
        <v>55.276452912160039</v>
      </c>
      <c r="AH87" s="40">
        <f t="shared" si="64"/>
        <v>58.472174201336571</v>
      </c>
      <c r="AI87" s="41">
        <f>AC87/W87%</f>
        <v>30.709288432854489</v>
      </c>
      <c r="AJ87" s="42"/>
    </row>
    <row r="88" spans="1:36" hidden="1" x14ac:dyDescent="0.25">
      <c r="A88" s="108" t="s">
        <v>61</v>
      </c>
      <c r="B88" s="128">
        <v>190454132.86000001</v>
      </c>
      <c r="C88" s="128">
        <v>12497307584.84</v>
      </c>
      <c r="D88" s="128">
        <v>12687542717.699999</v>
      </c>
      <c r="E88" s="215">
        <f>F88+G88+H88+I88</f>
        <v>219000</v>
      </c>
      <c r="F88" s="128">
        <v>0</v>
      </c>
      <c r="G88" s="128">
        <v>219000</v>
      </c>
      <c r="H88" s="128">
        <v>0</v>
      </c>
      <c r="I88" s="128">
        <v>0</v>
      </c>
      <c r="J88" s="128">
        <v>0</v>
      </c>
      <c r="K88" s="128">
        <v>7477922675.6599998</v>
      </c>
      <c r="L88" s="128">
        <v>7477873675.6599998</v>
      </c>
      <c r="M88" s="215">
        <f>N88+O88+P88+Q88</f>
        <v>49000</v>
      </c>
      <c r="N88" s="128">
        <v>0</v>
      </c>
      <c r="O88" s="128">
        <v>49000</v>
      </c>
      <c r="P88" s="128">
        <v>0</v>
      </c>
      <c r="Q88" s="128">
        <v>0</v>
      </c>
      <c r="R88" s="33">
        <f t="shared" si="48"/>
        <v>190.45413286000002</v>
      </c>
      <c r="S88" s="33">
        <f t="shared" si="62"/>
        <v>12687.542717699998</v>
      </c>
      <c r="T88" s="40"/>
      <c r="U88" s="33"/>
      <c r="V88" s="33">
        <f t="shared" si="58"/>
        <v>0.219</v>
      </c>
      <c r="W88" s="33">
        <f t="shared" si="50"/>
        <v>0</v>
      </c>
      <c r="X88" s="33">
        <f t="shared" si="52"/>
        <v>0</v>
      </c>
      <c r="Y88" s="33">
        <f t="shared" si="63"/>
        <v>7477.8736756600001</v>
      </c>
      <c r="Z88" s="33"/>
      <c r="AA88" s="33"/>
      <c r="AB88" s="33">
        <f t="shared" si="55"/>
        <v>4.9000000000000002E-2</v>
      </c>
      <c r="AC88" s="33">
        <f t="shared" ref="AC88:AC90" si="66">(P88+Q88)/1000000</f>
        <v>0</v>
      </c>
      <c r="AD88" s="33">
        <f t="shared" si="65"/>
        <v>0</v>
      </c>
      <c r="AE88" s="33">
        <f t="shared" si="56"/>
        <v>58.938707376550148</v>
      </c>
      <c r="AF88" s="33"/>
      <c r="AG88" s="33"/>
      <c r="AH88" s="33">
        <f t="shared" si="64"/>
        <v>22.374429223744293</v>
      </c>
      <c r="AI88" s="41"/>
      <c r="AJ88" s="42"/>
    </row>
    <row r="89" spans="1:36" s="44" customFormat="1" x14ac:dyDescent="0.25">
      <c r="A89" s="106" t="s">
        <v>82</v>
      </c>
      <c r="B89" s="38">
        <v>2592534189.9299998</v>
      </c>
      <c r="C89" s="38">
        <v>177408768.90000001</v>
      </c>
      <c r="D89" s="38">
        <v>856637080.28999996</v>
      </c>
      <c r="E89" s="210">
        <f>F89+G89+H89+I89-E90</f>
        <v>1824183281.8099999</v>
      </c>
      <c r="F89" s="38">
        <v>704014871.44000006</v>
      </c>
      <c r="G89" s="38">
        <v>833466681.72000003</v>
      </c>
      <c r="H89" s="38">
        <v>211558299</v>
      </c>
      <c r="I89" s="38">
        <v>164266026.38</v>
      </c>
      <c r="J89" s="38">
        <v>1272370762.51</v>
      </c>
      <c r="K89" s="38">
        <v>52560816.840000004</v>
      </c>
      <c r="L89" s="38">
        <v>396672333.44</v>
      </c>
      <c r="M89" s="210">
        <f>N89+O89+P89+Q89-M90</f>
        <v>881151081.24000013</v>
      </c>
      <c r="N89" s="38">
        <v>365868178.56</v>
      </c>
      <c r="O89" s="38">
        <v>382308154.92000002</v>
      </c>
      <c r="P89" s="38">
        <v>102885205.73</v>
      </c>
      <c r="Q89" s="38">
        <v>77197706.700000003</v>
      </c>
      <c r="R89" s="40">
        <f t="shared" si="48"/>
        <v>2592.5341899299997</v>
      </c>
      <c r="S89" s="40">
        <f t="shared" si="62"/>
        <v>856.63708028999997</v>
      </c>
      <c r="T89" s="40">
        <f>E89/1000000</f>
        <v>1824.1832818099999</v>
      </c>
      <c r="U89" s="40">
        <f>F89/1000000</f>
        <v>704.01487144000009</v>
      </c>
      <c r="V89" s="40">
        <f t="shared" si="58"/>
        <v>833.46668172</v>
      </c>
      <c r="W89" s="40">
        <f t="shared" si="50"/>
        <v>375.82432538</v>
      </c>
      <c r="X89" s="40">
        <f t="shared" si="52"/>
        <v>1272.3707625100001</v>
      </c>
      <c r="Y89" s="40">
        <f t="shared" si="63"/>
        <v>396.67233343999999</v>
      </c>
      <c r="Z89" s="40">
        <f>M89/1000000</f>
        <v>881.15108124000017</v>
      </c>
      <c r="AA89" s="40">
        <f>N89/1000000</f>
        <v>365.86817855999999</v>
      </c>
      <c r="AB89" s="40">
        <f t="shared" si="55"/>
        <v>382.30815491999999</v>
      </c>
      <c r="AC89" s="40">
        <f>(P89+Q89)/1000000</f>
        <v>180.08291242999999</v>
      </c>
      <c r="AD89" s="40">
        <f t="shared" si="65"/>
        <v>49.078263555874457</v>
      </c>
      <c r="AE89" s="40">
        <f t="shared" si="56"/>
        <v>46.305762681404509</v>
      </c>
      <c r="AF89" s="40">
        <f>Z89/T89%</f>
        <v>48.303867819997784</v>
      </c>
      <c r="AG89" s="40">
        <f>AA89/U89%</f>
        <v>51.96881392741733</v>
      </c>
      <c r="AH89" s="40">
        <f t="shared" si="64"/>
        <v>45.869638619631701</v>
      </c>
      <c r="AI89" s="41">
        <f>AC89/W89%</f>
        <v>47.916779268589451</v>
      </c>
      <c r="AJ89" s="42"/>
    </row>
    <row r="90" spans="1:36" hidden="1" x14ac:dyDescent="0.25">
      <c r="A90" s="108" t="s">
        <v>61</v>
      </c>
      <c r="B90" s="128">
        <v>1187400</v>
      </c>
      <c r="C90" s="128">
        <v>177408768.90000001</v>
      </c>
      <c r="D90" s="128">
        <v>89473572.170000002</v>
      </c>
      <c r="E90" s="215">
        <f>F90+G90+H90+I90</f>
        <v>89122596.730000004</v>
      </c>
      <c r="F90" s="128">
        <v>0</v>
      </c>
      <c r="G90" s="128">
        <v>11689196.73</v>
      </c>
      <c r="H90" s="128">
        <v>37632100</v>
      </c>
      <c r="I90" s="128">
        <v>39801300</v>
      </c>
      <c r="J90" s="128">
        <v>0</v>
      </c>
      <c r="K90" s="128">
        <v>52560816.840000004</v>
      </c>
      <c r="L90" s="128">
        <v>5452652.1699999999</v>
      </c>
      <c r="M90" s="215">
        <f>N90+O90+P90+Q90</f>
        <v>47108164.670000002</v>
      </c>
      <c r="N90" s="128">
        <v>0</v>
      </c>
      <c r="O90" s="128">
        <v>8308116.7300000004</v>
      </c>
      <c r="P90" s="128">
        <v>18037790.609999999</v>
      </c>
      <c r="Q90" s="128">
        <v>20762257.329999998</v>
      </c>
      <c r="R90" s="33">
        <f t="shared" si="48"/>
        <v>1.1874</v>
      </c>
      <c r="S90" s="33">
        <f t="shared" si="62"/>
        <v>89.473572169999997</v>
      </c>
      <c r="T90" s="33"/>
      <c r="U90" s="33"/>
      <c r="V90" s="33">
        <f t="shared" si="58"/>
        <v>11.689196730000001</v>
      </c>
      <c r="W90" s="33">
        <f t="shared" si="50"/>
        <v>77.433400000000006</v>
      </c>
      <c r="X90" s="33"/>
      <c r="Y90" s="33">
        <f t="shared" si="63"/>
        <v>5.4526521700000004</v>
      </c>
      <c r="Z90" s="33"/>
      <c r="AA90" s="33"/>
      <c r="AB90" s="33">
        <f t="shared" si="55"/>
        <v>8.3081167300000001</v>
      </c>
      <c r="AC90" s="33">
        <f t="shared" si="66"/>
        <v>38.800047939999999</v>
      </c>
      <c r="AD90" s="33"/>
      <c r="AE90" s="33">
        <f t="shared" si="56"/>
        <v>6.0941482917882706</v>
      </c>
      <c r="AF90" s="33"/>
      <c r="AG90" s="33"/>
      <c r="AH90" s="33">
        <f t="shared" si="64"/>
        <v>71.075172416915933</v>
      </c>
      <c r="AI90" s="41">
        <f t="shared" si="64"/>
        <v>50.107638228464715</v>
      </c>
      <c r="AJ90" s="42"/>
    </row>
    <row r="91" spans="1:36" s="44" customFormat="1" x14ac:dyDescent="0.25">
      <c r="A91" s="106" t="s">
        <v>83</v>
      </c>
      <c r="B91" s="38">
        <v>12633290262.83</v>
      </c>
      <c r="C91" s="38">
        <v>0</v>
      </c>
      <c r="D91" s="38">
        <v>12632848432.690001</v>
      </c>
      <c r="E91" s="210">
        <f>F91+G91+H91+I91-E92</f>
        <v>441830.14</v>
      </c>
      <c r="F91" s="38">
        <v>184330.14</v>
      </c>
      <c r="G91" s="38">
        <v>257500</v>
      </c>
      <c r="H91" s="38">
        <v>0</v>
      </c>
      <c r="I91" s="38">
        <v>0</v>
      </c>
      <c r="J91" s="38">
        <v>6027837857.4499998</v>
      </c>
      <c r="K91" s="38">
        <v>0</v>
      </c>
      <c r="L91" s="38">
        <v>6027780357.4499998</v>
      </c>
      <c r="M91" s="210">
        <f>N91+O91+P91+Q91-M92</f>
        <v>57500</v>
      </c>
      <c r="N91" s="38">
        <v>0</v>
      </c>
      <c r="O91" s="38">
        <v>57500</v>
      </c>
      <c r="P91" s="38">
        <v>0</v>
      </c>
      <c r="Q91" s="38">
        <v>0</v>
      </c>
      <c r="R91" s="40">
        <f t="shared" si="48"/>
        <v>12633.29026283</v>
      </c>
      <c r="S91" s="40">
        <f t="shared" si="62"/>
        <v>12632.84843269</v>
      </c>
      <c r="T91" s="40">
        <f>E91/1000000</f>
        <v>0.44183014000000004</v>
      </c>
      <c r="U91" s="40">
        <f>F91/1000000</f>
        <v>0.18433014</v>
      </c>
      <c r="V91" s="40">
        <f t="shared" si="58"/>
        <v>0.25750000000000001</v>
      </c>
      <c r="W91" s="40">
        <f t="shared" si="50"/>
        <v>0</v>
      </c>
      <c r="X91" s="40">
        <f t="shared" si="52"/>
        <v>6027.8378574500002</v>
      </c>
      <c r="Y91" s="40">
        <f t="shared" si="63"/>
        <v>6027.7803574499994</v>
      </c>
      <c r="Z91" s="40">
        <f>M91/1000000</f>
        <v>5.7500000000000002E-2</v>
      </c>
      <c r="AA91" s="40">
        <f>N91/1000000</f>
        <v>0</v>
      </c>
      <c r="AB91" s="40">
        <f t="shared" si="55"/>
        <v>5.7500000000000002E-2</v>
      </c>
      <c r="AC91" s="40">
        <f>(P91+Q91)/1000000</f>
        <v>0</v>
      </c>
      <c r="AD91" s="40">
        <f t="shared" si="65"/>
        <v>47.713918797427333</v>
      </c>
      <c r="AE91" s="40">
        <f t="shared" si="56"/>
        <v>47.715132415045233</v>
      </c>
      <c r="AF91" s="40">
        <f>Z91/T91%</f>
        <v>13.01405105591031</v>
      </c>
      <c r="AG91" s="40">
        <f>AA91/U91%</f>
        <v>0</v>
      </c>
      <c r="AH91" s="40">
        <f t="shared" si="64"/>
        <v>22.33009708737864</v>
      </c>
      <c r="AI91" s="129" t="s">
        <v>30</v>
      </c>
      <c r="AJ91" s="130"/>
    </row>
    <row r="92" spans="1:36" hidden="1" x14ac:dyDescent="0.25">
      <c r="A92" s="108" t="s">
        <v>61</v>
      </c>
      <c r="B92" s="125">
        <v>0</v>
      </c>
      <c r="C92" s="125">
        <v>0</v>
      </c>
      <c r="D92" s="125">
        <v>0</v>
      </c>
      <c r="E92" s="215">
        <f>F92+G92+H92+I92</f>
        <v>0</v>
      </c>
      <c r="F92" s="131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215">
        <f>N92+O92+P92+Q92</f>
        <v>0</v>
      </c>
      <c r="N92" s="125">
        <v>0</v>
      </c>
      <c r="O92" s="125">
        <v>0</v>
      </c>
      <c r="P92" s="125">
        <v>0</v>
      </c>
      <c r="Q92" s="125">
        <v>0</v>
      </c>
      <c r="R92" s="33">
        <v>0</v>
      </c>
      <c r="S92" s="33">
        <f t="shared" si="62"/>
        <v>0</v>
      </c>
      <c r="T92" s="33"/>
      <c r="U92" s="33">
        <f>F92/1000000</f>
        <v>0</v>
      </c>
      <c r="V92" s="33">
        <f t="shared" si="58"/>
        <v>0</v>
      </c>
      <c r="W92" s="33">
        <f t="shared" si="50"/>
        <v>0</v>
      </c>
      <c r="X92" s="33">
        <f t="shared" si="52"/>
        <v>0</v>
      </c>
      <c r="Y92" s="33">
        <f t="shared" si="63"/>
        <v>0</v>
      </c>
      <c r="Z92" s="33"/>
      <c r="AA92" s="33">
        <f>N92/1000000</f>
        <v>0</v>
      </c>
      <c r="AB92" s="33">
        <f t="shared" si="55"/>
        <v>0</v>
      </c>
      <c r="AC92" s="40">
        <f>(P92+Q92)/1000000</f>
        <v>0</v>
      </c>
      <c r="AD92" s="33"/>
      <c r="AE92" s="33" t="e">
        <f t="shared" si="56"/>
        <v>#DIV/0!</v>
      </c>
      <c r="AF92" s="33"/>
      <c r="AG92" s="33"/>
      <c r="AH92" s="33"/>
      <c r="AI92" s="41"/>
      <c r="AJ92" s="42"/>
    </row>
    <row r="93" spans="1:36" x14ac:dyDescent="0.25">
      <c r="A93" s="126" t="s">
        <v>84</v>
      </c>
      <c r="B93" s="111">
        <v>2496894933.77</v>
      </c>
      <c r="C93" s="111">
        <v>0</v>
      </c>
      <c r="D93" s="111">
        <v>2496894933.77</v>
      </c>
      <c r="E93" s="210">
        <f>F93+G93+H93+I93</f>
        <v>0</v>
      </c>
      <c r="F93" s="111">
        <v>0</v>
      </c>
      <c r="G93" s="111">
        <v>0</v>
      </c>
      <c r="H93" s="111">
        <v>0</v>
      </c>
      <c r="I93" s="111">
        <v>0</v>
      </c>
      <c r="J93" s="125">
        <v>1010727934.77</v>
      </c>
      <c r="K93" s="125">
        <v>0</v>
      </c>
      <c r="L93" s="125">
        <v>1010727934.77</v>
      </c>
      <c r="M93" s="210">
        <f>N93+O93+P93+Q93</f>
        <v>0</v>
      </c>
      <c r="N93" s="125">
        <v>0</v>
      </c>
      <c r="O93" s="125">
        <v>0</v>
      </c>
      <c r="P93" s="125">
        <v>0</v>
      </c>
      <c r="Q93" s="125">
        <v>0</v>
      </c>
      <c r="R93" s="33">
        <f>B93/1000000</f>
        <v>2496.8949337700001</v>
      </c>
      <c r="S93" s="33">
        <f t="shared" si="62"/>
        <v>2496.8949337700001</v>
      </c>
      <c r="T93" s="33">
        <f>E93/1000000</f>
        <v>0</v>
      </c>
      <c r="U93" s="33">
        <f>F93/1000000</f>
        <v>0</v>
      </c>
      <c r="V93" s="33">
        <f t="shared" si="58"/>
        <v>0</v>
      </c>
      <c r="W93" s="33">
        <f t="shared" si="50"/>
        <v>0</v>
      </c>
      <c r="X93" s="33">
        <f t="shared" si="52"/>
        <v>1010.7279347699999</v>
      </c>
      <c r="Y93" s="33">
        <f t="shared" si="63"/>
        <v>1010.7279347699999</v>
      </c>
      <c r="Z93" s="33">
        <f>M93/1000000</f>
        <v>0</v>
      </c>
      <c r="AA93" s="33">
        <f>N93/1000000</f>
        <v>0</v>
      </c>
      <c r="AB93" s="33">
        <f t="shared" si="55"/>
        <v>0</v>
      </c>
      <c r="AC93" s="33">
        <f t="shared" ref="AC93:AC95" si="67">(P93+Q93)/1000000</f>
        <v>0</v>
      </c>
      <c r="AD93" s="33">
        <f t="shared" si="65"/>
        <v>40.479393870367097</v>
      </c>
      <c r="AE93" s="33">
        <f t="shared" si="56"/>
        <v>40.479393870367097</v>
      </c>
      <c r="AF93" s="59" t="s">
        <v>30</v>
      </c>
      <c r="AG93" s="59" t="s">
        <v>30</v>
      </c>
      <c r="AH93" s="59" t="s">
        <v>30</v>
      </c>
      <c r="AI93" s="54" t="s">
        <v>30</v>
      </c>
      <c r="AJ93" s="75"/>
    </row>
    <row r="94" spans="1:36" x14ac:dyDescent="0.25">
      <c r="A94" s="126" t="s">
        <v>85</v>
      </c>
      <c r="B94" s="125">
        <v>1180058677</v>
      </c>
      <c r="C94" s="133">
        <v>0</v>
      </c>
      <c r="D94" s="111">
        <v>1180058677</v>
      </c>
      <c r="E94" s="210">
        <f>F94+G94+H94+I94</f>
        <v>0</v>
      </c>
      <c r="F94" s="125">
        <v>0</v>
      </c>
      <c r="G94" s="125">
        <v>0</v>
      </c>
      <c r="H94" s="125">
        <v>0</v>
      </c>
      <c r="I94" s="133">
        <v>0</v>
      </c>
      <c r="J94" s="111">
        <v>589711263.00999999</v>
      </c>
      <c r="K94" s="111">
        <v>0</v>
      </c>
      <c r="L94" s="111">
        <v>589711263.00999999</v>
      </c>
      <c r="M94" s="210">
        <f>N94+O94+P94+Q94</f>
        <v>0</v>
      </c>
      <c r="N94" s="111">
        <v>0</v>
      </c>
      <c r="O94" s="111">
        <v>0</v>
      </c>
      <c r="P94" s="111">
        <v>0</v>
      </c>
      <c r="Q94" s="111">
        <v>0</v>
      </c>
      <c r="R94" s="33">
        <f>B94/1000000</f>
        <v>1180.058677</v>
      </c>
      <c r="S94" s="33">
        <f t="shared" si="62"/>
        <v>1180.058677</v>
      </c>
      <c r="T94" s="33">
        <f>E94/1000000</f>
        <v>0</v>
      </c>
      <c r="U94" s="33">
        <f>F94/1000000</f>
        <v>0</v>
      </c>
      <c r="V94" s="33">
        <f t="shared" si="58"/>
        <v>0</v>
      </c>
      <c r="W94" s="33">
        <f t="shared" si="50"/>
        <v>0</v>
      </c>
      <c r="X94" s="33">
        <f>J94/1000000</f>
        <v>589.71126301000004</v>
      </c>
      <c r="Y94" s="33">
        <f t="shared" si="63"/>
        <v>589.71126301000004</v>
      </c>
      <c r="Z94" s="33">
        <f>M94/1000000</f>
        <v>0</v>
      </c>
      <c r="AA94" s="33">
        <f>N94/1000000</f>
        <v>0</v>
      </c>
      <c r="AB94" s="33">
        <f t="shared" si="55"/>
        <v>0</v>
      </c>
      <c r="AC94" s="33">
        <f t="shared" si="67"/>
        <v>0</v>
      </c>
      <c r="AD94" s="33">
        <f t="shared" si="65"/>
        <v>49.973045790332343</v>
      </c>
      <c r="AE94" s="33">
        <f t="shared" si="56"/>
        <v>49.973045790332343</v>
      </c>
      <c r="AF94" s="59" t="s">
        <v>30</v>
      </c>
      <c r="AG94" s="59" t="s">
        <v>30</v>
      </c>
      <c r="AH94" s="59" t="s">
        <v>30</v>
      </c>
      <c r="AI94" s="54" t="s">
        <v>30</v>
      </c>
      <c r="AJ94" s="75"/>
    </row>
    <row r="95" spans="1:36" ht="13.95" customHeight="1" x14ac:dyDescent="0.25">
      <c r="A95" s="108" t="s">
        <v>86</v>
      </c>
      <c r="B95" s="111">
        <v>8614651152.0599995</v>
      </c>
      <c r="C95" s="111">
        <v>0</v>
      </c>
      <c r="D95" s="111">
        <v>8614209321.9200001</v>
      </c>
      <c r="E95" s="210">
        <f>F95+G95+H95+I95-E96</f>
        <v>441830.14</v>
      </c>
      <c r="F95" s="111">
        <v>184330.14</v>
      </c>
      <c r="G95" s="111">
        <v>257500</v>
      </c>
      <c r="H95" s="111">
        <v>0</v>
      </c>
      <c r="I95" s="111">
        <v>0</v>
      </c>
      <c r="J95" s="111">
        <v>4260474959.6700001</v>
      </c>
      <c r="K95" s="111">
        <v>0</v>
      </c>
      <c r="L95" s="111">
        <v>4260417459.6700001</v>
      </c>
      <c r="M95" s="210">
        <f>N95+O95+P95+Q95-M96</f>
        <v>57500</v>
      </c>
      <c r="N95" s="111">
        <v>0</v>
      </c>
      <c r="O95" s="111">
        <v>57500</v>
      </c>
      <c r="P95" s="111">
        <v>0</v>
      </c>
      <c r="Q95" s="111">
        <v>0</v>
      </c>
      <c r="R95" s="33">
        <f t="shared" ref="R95:R111" si="68">B95/1000000</f>
        <v>8614.6511520599997</v>
      </c>
      <c r="S95" s="33">
        <f t="shared" si="62"/>
        <v>8614.2093219199996</v>
      </c>
      <c r="T95" s="33">
        <f>E95/1000000</f>
        <v>0.44183014000000004</v>
      </c>
      <c r="U95" s="33">
        <f>F95/1000000</f>
        <v>0.18433014</v>
      </c>
      <c r="V95" s="33">
        <f t="shared" si="58"/>
        <v>0.25750000000000001</v>
      </c>
      <c r="W95" s="33">
        <f t="shared" si="50"/>
        <v>0</v>
      </c>
      <c r="X95" s="33">
        <f t="shared" ref="X95:X99" si="69">J95/1000000</f>
        <v>4260.4749596700003</v>
      </c>
      <c r="Y95" s="33">
        <f t="shared" si="63"/>
        <v>4260.4174596700004</v>
      </c>
      <c r="Z95" s="33">
        <f>M95/1000000</f>
        <v>5.7500000000000002E-2</v>
      </c>
      <c r="AA95" s="33">
        <f>N95/1000000</f>
        <v>0</v>
      </c>
      <c r="AB95" s="33">
        <f t="shared" si="55"/>
        <v>5.7500000000000002E-2</v>
      </c>
      <c r="AC95" s="33">
        <f t="shared" si="67"/>
        <v>0</v>
      </c>
      <c r="AD95" s="33">
        <f t="shared" si="65"/>
        <v>49.456151902926486</v>
      </c>
      <c r="AE95" s="33">
        <f t="shared" si="56"/>
        <v>49.458021049346954</v>
      </c>
      <c r="AF95" s="33">
        <f>Z95/T95%</f>
        <v>13.01405105591031</v>
      </c>
      <c r="AG95" s="33">
        <f>AA95/U95%</f>
        <v>0</v>
      </c>
      <c r="AH95" s="33">
        <f>AB95/V95%</f>
        <v>22.33009708737864</v>
      </c>
      <c r="AI95" s="129" t="s">
        <v>30</v>
      </c>
      <c r="AJ95" s="130"/>
    </row>
    <row r="96" spans="1:36" s="119" customFormat="1" hidden="1" x14ac:dyDescent="0.25">
      <c r="A96" s="112" t="s">
        <v>67</v>
      </c>
      <c r="B96" s="111"/>
      <c r="C96" s="111"/>
      <c r="D96" s="111"/>
      <c r="E96" s="114">
        <f>F96+G96+H96+I96</f>
        <v>0</v>
      </c>
      <c r="F96" s="123"/>
      <c r="G96" s="123"/>
      <c r="H96" s="123"/>
      <c r="I96" s="123"/>
      <c r="J96" s="111"/>
      <c r="K96" s="111"/>
      <c r="L96" s="111"/>
      <c r="M96" s="114">
        <f>N96+O96+P96+Q96</f>
        <v>0</v>
      </c>
      <c r="N96" s="111"/>
      <c r="O96" s="111"/>
      <c r="P96" s="111"/>
      <c r="Q96" s="111"/>
      <c r="R96" s="33">
        <f t="shared" si="68"/>
        <v>0</v>
      </c>
      <c r="S96" s="33">
        <f t="shared" si="62"/>
        <v>0</v>
      </c>
      <c r="T96" s="33"/>
      <c r="U96" s="33"/>
      <c r="V96" s="33">
        <f t="shared" si="58"/>
        <v>0</v>
      </c>
      <c r="W96" s="33"/>
      <c r="X96" s="33">
        <f t="shared" si="69"/>
        <v>0</v>
      </c>
      <c r="Y96" s="33">
        <f t="shared" si="63"/>
        <v>0</v>
      </c>
      <c r="Z96" s="33"/>
      <c r="AA96" s="33"/>
      <c r="AB96" s="33">
        <f t="shared" si="55"/>
        <v>0</v>
      </c>
      <c r="AC96" s="33"/>
      <c r="AD96" s="33" t="e">
        <f t="shared" si="65"/>
        <v>#DIV/0!</v>
      </c>
      <c r="AE96" s="33" t="e">
        <f t="shared" si="56"/>
        <v>#DIV/0!</v>
      </c>
      <c r="AF96" s="33"/>
      <c r="AG96" s="33"/>
      <c r="AH96" s="33"/>
      <c r="AI96" s="35"/>
      <c r="AJ96" s="36"/>
    </row>
    <row r="97" spans="1:36" s="44" customFormat="1" x14ac:dyDescent="0.25">
      <c r="A97" s="106" t="s">
        <v>87</v>
      </c>
      <c r="B97" s="38">
        <v>12899144022.780001</v>
      </c>
      <c r="C97" s="38">
        <v>1401320243.77</v>
      </c>
      <c r="D97" s="38">
        <v>12178084716.309999</v>
      </c>
      <c r="E97" s="210">
        <f>F97+G97+H97+I97-E98</f>
        <v>2115705539.24</v>
      </c>
      <c r="F97" s="38">
        <v>1593145234.9400001</v>
      </c>
      <c r="G97" s="38">
        <v>514003327.24000001</v>
      </c>
      <c r="H97" s="38">
        <v>5302560.58</v>
      </c>
      <c r="I97" s="38">
        <v>9928427.4800000004</v>
      </c>
      <c r="J97" s="38">
        <v>6721731253.7200003</v>
      </c>
      <c r="K97" s="38">
        <v>572019623.74000001</v>
      </c>
      <c r="L97" s="38">
        <v>6265653974.1400003</v>
      </c>
      <c r="M97" s="210">
        <f>N97+O97+P97+Q97-M98</f>
        <v>1022309275.3199999</v>
      </c>
      <c r="N97" s="38">
        <v>840808315.26999998</v>
      </c>
      <c r="O97" s="38">
        <v>178198932.30000001</v>
      </c>
      <c r="P97" s="38">
        <v>2602898.14</v>
      </c>
      <c r="Q97" s="38">
        <v>6486757.6100000003</v>
      </c>
      <c r="R97" s="40">
        <f t="shared" si="68"/>
        <v>12899.144022780001</v>
      </c>
      <c r="S97" s="40">
        <f t="shared" si="62"/>
        <v>12178.084716309999</v>
      </c>
      <c r="T97" s="40">
        <f>E97/1000000</f>
        <v>2115.7055392400002</v>
      </c>
      <c r="U97" s="40">
        <f>F97/1000000</f>
        <v>1593.1452349400001</v>
      </c>
      <c r="V97" s="40">
        <f t="shared" si="58"/>
        <v>514.00332723999998</v>
      </c>
      <c r="W97" s="40">
        <f t="shared" si="50"/>
        <v>15.230988060000001</v>
      </c>
      <c r="X97" s="40">
        <f t="shared" si="69"/>
        <v>6721.7312537200005</v>
      </c>
      <c r="Y97" s="40">
        <f t="shared" si="63"/>
        <v>6265.6539741400002</v>
      </c>
      <c r="Z97" s="40">
        <f>M97/1000000</f>
        <v>1022.30927532</v>
      </c>
      <c r="AA97" s="40">
        <f>N97/1000000</f>
        <v>840.80831526999998</v>
      </c>
      <c r="AB97" s="40">
        <f t="shared" si="55"/>
        <v>178.19893230000002</v>
      </c>
      <c r="AC97" s="40">
        <f>(P97+Q97)/1000000</f>
        <v>9.0896557500000004</v>
      </c>
      <c r="AD97" s="40">
        <f t="shared" si="65"/>
        <v>52.109901570595419</v>
      </c>
      <c r="AE97" s="40">
        <f t="shared" si="56"/>
        <v>51.450241315438269</v>
      </c>
      <c r="AF97" s="40">
        <f>Z97/T97%</f>
        <v>48.320016956954788</v>
      </c>
      <c r="AG97" s="40">
        <f>AA97/U97%</f>
        <v>52.776626815298854</v>
      </c>
      <c r="AH97" s="40">
        <f>AB97/V97%</f>
        <v>34.668828557367455</v>
      </c>
      <c r="AI97" s="41">
        <f>AC97/W97%</f>
        <v>59.678700516294676</v>
      </c>
      <c r="AJ97" s="42"/>
    </row>
    <row r="98" spans="1:36" hidden="1" x14ac:dyDescent="0.25">
      <c r="A98" s="108" t="s">
        <v>61</v>
      </c>
      <c r="B98" s="128">
        <v>186574380.53999999</v>
      </c>
      <c r="C98" s="128">
        <v>1401320243.77</v>
      </c>
      <c r="D98" s="128">
        <v>1581220613.3099999</v>
      </c>
      <c r="E98" s="215">
        <f>F98+G98+H98+I98</f>
        <v>6674011</v>
      </c>
      <c r="F98" s="128">
        <v>0</v>
      </c>
      <c r="G98" s="128">
        <v>6674011</v>
      </c>
      <c r="H98" s="128">
        <v>0</v>
      </c>
      <c r="I98" s="128">
        <v>0</v>
      </c>
      <c r="J98" s="128">
        <v>12519220.98</v>
      </c>
      <c r="K98" s="128">
        <v>572019623.74000001</v>
      </c>
      <c r="L98" s="128">
        <v>578751216.72000003</v>
      </c>
      <c r="M98" s="215">
        <f>N98+O98+P98+Q98</f>
        <v>5787628</v>
      </c>
      <c r="N98" s="128">
        <v>0</v>
      </c>
      <c r="O98" s="128">
        <v>5787628</v>
      </c>
      <c r="P98" s="128">
        <v>0</v>
      </c>
      <c r="Q98" s="128">
        <v>0</v>
      </c>
      <c r="R98" s="33">
        <f t="shared" si="68"/>
        <v>186.57438053999999</v>
      </c>
      <c r="S98" s="33">
        <f t="shared" si="62"/>
        <v>1581.2206133099999</v>
      </c>
      <c r="T98" s="33"/>
      <c r="U98" s="33"/>
      <c r="V98" s="33">
        <f t="shared" si="58"/>
        <v>6.6740110000000001</v>
      </c>
      <c r="W98" s="33">
        <f t="shared" si="50"/>
        <v>0</v>
      </c>
      <c r="X98" s="33">
        <f t="shared" si="69"/>
        <v>12.51922098</v>
      </c>
      <c r="Y98" s="33">
        <f t="shared" si="63"/>
        <v>578.75121672</v>
      </c>
      <c r="Z98" s="33"/>
      <c r="AA98" s="33"/>
      <c r="AB98" s="33">
        <f t="shared" si="55"/>
        <v>5.7876279999999998</v>
      </c>
      <c r="AC98" s="33">
        <f t="shared" ref="AC98:AC100" si="70">(P98+Q98)/1000000</f>
        <v>0</v>
      </c>
      <c r="AD98" s="33">
        <f t="shared" si="65"/>
        <v>6.7100429028711064</v>
      </c>
      <c r="AE98" s="33">
        <f t="shared" si="56"/>
        <v>36.601547680844412</v>
      </c>
      <c r="AF98" s="40"/>
      <c r="AG98" s="40"/>
      <c r="AH98" s="33">
        <f t="shared" ref="AH98:AI109" si="71">AB98/V98%</f>
        <v>86.718886139084873</v>
      </c>
      <c r="AI98" s="35" t="e">
        <f>AC98/W98%</f>
        <v>#DIV/0!</v>
      </c>
      <c r="AJ98" s="36"/>
    </row>
    <row r="99" spans="1:36" s="44" customFormat="1" x14ac:dyDescent="0.25">
      <c r="A99" s="106" t="s">
        <v>88</v>
      </c>
      <c r="B99" s="38">
        <v>628878274.76999998</v>
      </c>
      <c r="C99" s="38">
        <v>38977638.450000003</v>
      </c>
      <c r="D99" s="38">
        <v>485396503.69999999</v>
      </c>
      <c r="E99" s="210">
        <f>F99+G99+H99+I99-E100</f>
        <v>176914274.76999998</v>
      </c>
      <c r="F99" s="38">
        <v>142853307.59999999</v>
      </c>
      <c r="G99" s="38">
        <v>27903020.859999999</v>
      </c>
      <c r="H99" s="38">
        <v>7049903.0599999996</v>
      </c>
      <c r="I99" s="38">
        <v>4653178</v>
      </c>
      <c r="J99" s="38">
        <v>319081998.67000002</v>
      </c>
      <c r="K99" s="38">
        <v>19423660.710000001</v>
      </c>
      <c r="L99" s="38">
        <v>248223787.66999999</v>
      </c>
      <c r="M99" s="210">
        <f>N99+O99+P99+Q99-M100</f>
        <v>88354736.960000008</v>
      </c>
      <c r="N99" s="38">
        <v>78407404.010000005</v>
      </c>
      <c r="O99" s="38">
        <v>8354632.0599999996</v>
      </c>
      <c r="P99" s="38">
        <v>1954616.79</v>
      </c>
      <c r="Q99" s="38">
        <v>1565218.85</v>
      </c>
      <c r="R99" s="40">
        <f t="shared" si="68"/>
        <v>628.87827476999996</v>
      </c>
      <c r="S99" s="40">
        <f t="shared" si="62"/>
        <v>485.39650369999998</v>
      </c>
      <c r="T99" s="40">
        <f>E99/1000000</f>
        <v>176.91427476999999</v>
      </c>
      <c r="U99" s="40">
        <f>F99/1000000</f>
        <v>142.85330759999999</v>
      </c>
      <c r="V99" s="40">
        <f t="shared" si="58"/>
        <v>27.903020859999998</v>
      </c>
      <c r="W99" s="40">
        <f t="shared" si="50"/>
        <v>11.703081059999999</v>
      </c>
      <c r="X99" s="40">
        <f t="shared" si="69"/>
        <v>319.08199867000002</v>
      </c>
      <c r="Y99" s="40">
        <f t="shared" si="63"/>
        <v>248.22378766999998</v>
      </c>
      <c r="Z99" s="40">
        <f>M99/1000000</f>
        <v>88.354736960000011</v>
      </c>
      <c r="AA99" s="40">
        <f>N99/1000000</f>
        <v>78.407404010000008</v>
      </c>
      <c r="AB99" s="40">
        <f t="shared" si="55"/>
        <v>8.3546320600000001</v>
      </c>
      <c r="AC99" s="40">
        <f>(P99+Q99)/1000000</f>
        <v>3.5198356400000002</v>
      </c>
      <c r="AD99" s="40">
        <f t="shared" si="65"/>
        <v>50.738276622244271</v>
      </c>
      <c r="AE99" s="40">
        <f t="shared" si="56"/>
        <v>51.138355092770723</v>
      </c>
      <c r="AF99" s="40">
        <f>Z99/T99%</f>
        <v>49.94211861923911</v>
      </c>
      <c r="AG99" s="40">
        <f>AA99/U99%</f>
        <v>54.886656338085388</v>
      </c>
      <c r="AH99" s="40">
        <f t="shared" si="71"/>
        <v>29.941675856239172</v>
      </c>
      <c r="AI99" s="41">
        <f t="shared" si="71"/>
        <v>30.076145093367408</v>
      </c>
      <c r="AJ99" s="42"/>
    </row>
    <row r="100" spans="1:36" hidden="1" x14ac:dyDescent="0.25">
      <c r="A100" s="108" t="s">
        <v>61</v>
      </c>
      <c r="B100" s="128">
        <v>26657500</v>
      </c>
      <c r="C100" s="128">
        <v>38977638.450000003</v>
      </c>
      <c r="D100" s="128">
        <v>60090003.700000003</v>
      </c>
      <c r="E100" s="215">
        <f>F100+G100+H100+I100</f>
        <v>5545134.75</v>
      </c>
      <c r="F100" s="128">
        <v>0</v>
      </c>
      <c r="G100" s="128">
        <v>4002290</v>
      </c>
      <c r="H100" s="128">
        <v>262344.75</v>
      </c>
      <c r="I100" s="128">
        <v>1280500</v>
      </c>
      <c r="J100" s="128">
        <v>0</v>
      </c>
      <c r="K100" s="128">
        <v>19423660.710000001</v>
      </c>
      <c r="L100" s="128">
        <v>17496525.960000001</v>
      </c>
      <c r="M100" s="215">
        <f>N100+O100+P100+Q100</f>
        <v>1927134.75</v>
      </c>
      <c r="N100" s="128">
        <v>0</v>
      </c>
      <c r="O100" s="128">
        <v>1126290</v>
      </c>
      <c r="P100" s="128">
        <v>262344.75</v>
      </c>
      <c r="Q100" s="128">
        <v>538500</v>
      </c>
      <c r="R100" s="33"/>
      <c r="S100" s="33">
        <f t="shared" si="62"/>
        <v>60.090003700000004</v>
      </c>
      <c r="T100" s="33"/>
      <c r="U100" s="33"/>
      <c r="V100" s="33">
        <f t="shared" si="58"/>
        <v>4.0022900000000003</v>
      </c>
      <c r="W100" s="33">
        <f t="shared" si="50"/>
        <v>1.54284475</v>
      </c>
      <c r="X100" s="33"/>
      <c r="Y100" s="33">
        <f t="shared" si="63"/>
        <v>17.49652596</v>
      </c>
      <c r="Z100" s="33"/>
      <c r="AA100" s="33"/>
      <c r="AB100" s="33">
        <f t="shared" si="55"/>
        <v>1.12629</v>
      </c>
      <c r="AC100" s="33">
        <f t="shared" si="70"/>
        <v>0.80084474999999999</v>
      </c>
      <c r="AD100" s="33"/>
      <c r="AE100" s="33">
        <f t="shared" si="56"/>
        <v>29.117199005930495</v>
      </c>
      <c r="AF100" s="33"/>
      <c r="AG100" s="33"/>
      <c r="AH100" s="33">
        <f t="shared" si="71"/>
        <v>28.141139197809256</v>
      </c>
      <c r="AI100" s="35">
        <f t="shared" si="71"/>
        <v>51.907021105007487</v>
      </c>
      <c r="AJ100" s="36"/>
    </row>
    <row r="101" spans="1:36" s="44" customFormat="1" x14ac:dyDescent="0.25">
      <c r="A101" s="106" t="s">
        <v>89</v>
      </c>
      <c r="B101" s="38">
        <v>112149500</v>
      </c>
      <c r="C101" s="38">
        <v>0</v>
      </c>
      <c r="D101" s="38">
        <v>92752400</v>
      </c>
      <c r="E101" s="210">
        <f>F101+G101+H101+I101</f>
        <v>19397100</v>
      </c>
      <c r="F101" s="38">
        <v>19362100</v>
      </c>
      <c r="G101" s="38">
        <v>0</v>
      </c>
      <c r="H101" s="38">
        <v>0</v>
      </c>
      <c r="I101" s="38">
        <v>35000</v>
      </c>
      <c r="J101" s="38">
        <v>46691978.350000001</v>
      </c>
      <c r="K101" s="38">
        <v>0</v>
      </c>
      <c r="L101" s="38">
        <v>36757108.549999997</v>
      </c>
      <c r="M101" s="210">
        <f>N101+O101+P101+Q101</f>
        <v>9934869.8000000007</v>
      </c>
      <c r="N101" s="38">
        <v>9931050</v>
      </c>
      <c r="O101" s="38">
        <v>0</v>
      </c>
      <c r="P101" s="38">
        <v>0</v>
      </c>
      <c r="Q101" s="38">
        <v>3819.8</v>
      </c>
      <c r="R101" s="40">
        <f t="shared" si="68"/>
        <v>112.1495</v>
      </c>
      <c r="S101" s="40">
        <f t="shared" si="62"/>
        <v>92.752399999999994</v>
      </c>
      <c r="T101" s="40">
        <f>E101/1000000</f>
        <v>19.397099999999998</v>
      </c>
      <c r="U101" s="40">
        <f>F101/1000000</f>
        <v>19.362100000000002</v>
      </c>
      <c r="V101" s="40">
        <f t="shared" si="58"/>
        <v>0</v>
      </c>
      <c r="W101" s="40">
        <f t="shared" si="50"/>
        <v>3.5000000000000003E-2</v>
      </c>
      <c r="X101" s="40">
        <f t="shared" ref="X101:X108" si="72">J101/1000000</f>
        <v>46.691978349999999</v>
      </c>
      <c r="Y101" s="40">
        <f t="shared" si="63"/>
        <v>36.757108549999998</v>
      </c>
      <c r="Z101" s="40">
        <f>M101/1000000</f>
        <v>9.9348698000000013</v>
      </c>
      <c r="AA101" s="40">
        <f>N101/1000000</f>
        <v>9.9310500000000008</v>
      </c>
      <c r="AB101" s="40">
        <f t="shared" si="55"/>
        <v>0</v>
      </c>
      <c r="AC101" s="40">
        <f t="shared" ref="AC101" si="73">P101/1000000</f>
        <v>0</v>
      </c>
      <c r="AD101" s="40">
        <f>X101/R101%</f>
        <v>41.633692838577069</v>
      </c>
      <c r="AE101" s="40">
        <f t="shared" si="56"/>
        <v>39.629280266602265</v>
      </c>
      <c r="AF101" s="40">
        <f>Z101/T101%</f>
        <v>51.218325419779255</v>
      </c>
      <c r="AG101" s="40">
        <f>AA101/U101%</f>
        <v>51.291182258122831</v>
      </c>
      <c r="AH101" s="110" t="s">
        <v>30</v>
      </c>
      <c r="AI101" s="41">
        <f t="shared" si="71"/>
        <v>0</v>
      </c>
      <c r="AJ101" s="42"/>
    </row>
    <row r="102" spans="1:36" s="44" customFormat="1" ht="26.4" x14ac:dyDescent="0.25">
      <c r="A102" s="106" t="s">
        <v>90</v>
      </c>
      <c r="B102" s="134">
        <v>2089464555.76</v>
      </c>
      <c r="C102" s="134">
        <v>711466.67</v>
      </c>
      <c r="D102" s="134">
        <v>1476910000</v>
      </c>
      <c r="E102" s="210">
        <f>F102+G102+H102+I102</f>
        <v>613266022.42999995</v>
      </c>
      <c r="F102" s="134">
        <v>558473002.42999995</v>
      </c>
      <c r="G102" s="134">
        <v>51473620</v>
      </c>
      <c r="H102" s="134">
        <v>3316400</v>
      </c>
      <c r="I102" s="134">
        <v>3000</v>
      </c>
      <c r="J102" s="38">
        <v>733440123.85000002</v>
      </c>
      <c r="K102" s="38">
        <v>0</v>
      </c>
      <c r="L102" s="38">
        <v>564631605.88999999</v>
      </c>
      <c r="M102" s="210">
        <f>N102+O102+P102+Q102</f>
        <v>168808517.96000001</v>
      </c>
      <c r="N102" s="38">
        <v>148557598.24000001</v>
      </c>
      <c r="O102" s="38">
        <v>18994895.48</v>
      </c>
      <c r="P102" s="38">
        <v>1256024.24</v>
      </c>
      <c r="Q102" s="38">
        <v>0</v>
      </c>
      <c r="R102" s="40">
        <f t="shared" si="68"/>
        <v>2089.4645557600002</v>
      </c>
      <c r="S102" s="40">
        <f t="shared" si="62"/>
        <v>1476.91</v>
      </c>
      <c r="T102" s="40">
        <f>E102/1000000</f>
        <v>613.26602242999991</v>
      </c>
      <c r="U102" s="40">
        <f>F102/1000000</f>
        <v>558.47300242999995</v>
      </c>
      <c r="V102" s="40">
        <f t="shared" si="58"/>
        <v>51.473619999999997</v>
      </c>
      <c r="W102" s="40">
        <f t="shared" si="50"/>
        <v>3.3193999999999999</v>
      </c>
      <c r="X102" s="40">
        <f t="shared" si="72"/>
        <v>733.44012385000008</v>
      </c>
      <c r="Y102" s="40">
        <f t="shared" si="63"/>
        <v>564.63160588999995</v>
      </c>
      <c r="Z102" s="40">
        <f>M102/1000000</f>
        <v>168.80851796000002</v>
      </c>
      <c r="AA102" s="40">
        <f>N102/1000000</f>
        <v>148.55759824</v>
      </c>
      <c r="AB102" s="40">
        <f t="shared" si="55"/>
        <v>18.99489548</v>
      </c>
      <c r="AC102" s="40">
        <f>(P102+Q102)/1000000</f>
        <v>1.2560242399999999</v>
      </c>
      <c r="AD102" s="40">
        <f>X102/R102%</f>
        <v>35.101821747975343</v>
      </c>
      <c r="AE102" s="40">
        <f t="shared" si="56"/>
        <v>38.230603482270411</v>
      </c>
      <c r="AF102" s="40">
        <f>Z102/T102%</f>
        <v>27.52614881403581</v>
      </c>
      <c r="AG102" s="40">
        <f>AA102/U102%</f>
        <v>26.60067677284373</v>
      </c>
      <c r="AH102" s="40">
        <f t="shared" si="71"/>
        <v>36.902194716439219</v>
      </c>
      <c r="AI102" s="41">
        <f t="shared" si="71"/>
        <v>37.838893775983607</v>
      </c>
      <c r="AJ102" s="42"/>
    </row>
    <row r="103" spans="1:36" s="44" customFormat="1" ht="26.4" x14ac:dyDescent="0.25">
      <c r="A103" s="106" t="s">
        <v>91</v>
      </c>
      <c r="B103" s="38">
        <v>60662990.670000002</v>
      </c>
      <c r="C103" s="38">
        <v>3921357646.3899999</v>
      </c>
      <c r="D103" s="38">
        <v>3480694500</v>
      </c>
      <c r="E103" s="135"/>
      <c r="F103" s="38">
        <v>0</v>
      </c>
      <c r="G103" s="38">
        <v>501326137.06</v>
      </c>
      <c r="H103" s="38">
        <v>0</v>
      </c>
      <c r="I103" s="38">
        <v>0</v>
      </c>
      <c r="J103" s="38">
        <v>0</v>
      </c>
      <c r="K103" s="38">
        <v>1945014735.5899999</v>
      </c>
      <c r="L103" s="38">
        <v>1690190880</v>
      </c>
      <c r="M103" s="135"/>
      <c r="N103" s="38">
        <v>0</v>
      </c>
      <c r="O103" s="38">
        <v>254823855.59</v>
      </c>
      <c r="P103" s="38">
        <v>0</v>
      </c>
      <c r="Q103" s="38">
        <v>0</v>
      </c>
      <c r="R103" s="40">
        <f t="shared" si="68"/>
        <v>60.662990669999999</v>
      </c>
      <c r="S103" s="40">
        <f t="shared" si="62"/>
        <v>3480.6945000000001</v>
      </c>
      <c r="T103" s="40"/>
      <c r="U103" s="40">
        <f t="shared" ref="U103:U109" si="74">F103/1000000</f>
        <v>0</v>
      </c>
      <c r="V103" s="40">
        <f t="shared" si="58"/>
        <v>501.32613706000001</v>
      </c>
      <c r="W103" s="40">
        <f t="shared" si="50"/>
        <v>0</v>
      </c>
      <c r="X103" s="40">
        <f t="shared" si="72"/>
        <v>0</v>
      </c>
      <c r="Y103" s="40">
        <f t="shared" si="63"/>
        <v>1690.1908800000001</v>
      </c>
      <c r="Z103" s="40"/>
      <c r="AA103" s="40">
        <f t="shared" ref="AA103:AA109" si="75">N103/1000000</f>
        <v>0</v>
      </c>
      <c r="AB103" s="40">
        <f t="shared" si="55"/>
        <v>254.82385558999999</v>
      </c>
      <c r="AC103" s="40">
        <f>(P103+Q103)/1000000</f>
        <v>0</v>
      </c>
      <c r="AD103" s="40">
        <f>X103/R103%</f>
        <v>0</v>
      </c>
      <c r="AE103" s="40">
        <f t="shared" si="56"/>
        <v>48.559012576369462</v>
      </c>
      <c r="AF103" s="110" t="s">
        <v>30</v>
      </c>
      <c r="AG103" s="110" t="s">
        <v>30</v>
      </c>
      <c r="AH103" s="40">
        <f t="shared" si="71"/>
        <v>50.829956140806999</v>
      </c>
      <c r="AI103" s="54" t="s">
        <v>30</v>
      </c>
      <c r="AJ103" s="42"/>
    </row>
    <row r="104" spans="1:36" ht="26.4" x14ac:dyDescent="0.25">
      <c r="A104" s="108" t="s">
        <v>92</v>
      </c>
      <c r="B104" s="31">
        <v>0</v>
      </c>
      <c r="C104" s="31">
        <v>1376197715</v>
      </c>
      <c r="D104" s="31">
        <v>1220429000</v>
      </c>
      <c r="E104" s="136"/>
      <c r="F104" s="31">
        <v>0</v>
      </c>
      <c r="G104" s="31">
        <v>155768715</v>
      </c>
      <c r="H104" s="31">
        <v>0</v>
      </c>
      <c r="I104" s="31">
        <v>0</v>
      </c>
      <c r="J104" s="31">
        <v>0</v>
      </c>
      <c r="K104" s="31">
        <v>724126732.89999998</v>
      </c>
      <c r="L104" s="31">
        <v>644157000</v>
      </c>
      <c r="M104" s="136"/>
      <c r="N104" s="31">
        <v>0</v>
      </c>
      <c r="O104" s="31">
        <v>79969732.900000006</v>
      </c>
      <c r="P104" s="31">
        <v>0</v>
      </c>
      <c r="Q104" s="31">
        <v>0</v>
      </c>
      <c r="R104" s="33">
        <f t="shared" si="68"/>
        <v>0</v>
      </c>
      <c r="S104" s="33">
        <f t="shared" si="62"/>
        <v>1220.4290000000001</v>
      </c>
      <c r="T104" s="33"/>
      <c r="U104" s="33">
        <f t="shared" si="74"/>
        <v>0</v>
      </c>
      <c r="V104" s="33">
        <f t="shared" si="58"/>
        <v>155.76871499999999</v>
      </c>
      <c r="W104" s="33">
        <f t="shared" si="50"/>
        <v>0</v>
      </c>
      <c r="X104" s="33">
        <f t="shared" si="72"/>
        <v>0</v>
      </c>
      <c r="Y104" s="33">
        <f t="shared" si="63"/>
        <v>644.15700000000004</v>
      </c>
      <c r="Z104" s="33"/>
      <c r="AA104" s="33">
        <f t="shared" si="75"/>
        <v>0</v>
      </c>
      <c r="AB104" s="33">
        <f t="shared" si="55"/>
        <v>79.969732900000011</v>
      </c>
      <c r="AC104" s="33">
        <f t="shared" ref="AC104:AC112" si="76">(P104+Q104)/1000000</f>
        <v>0</v>
      </c>
      <c r="AD104" s="59" t="s">
        <v>30</v>
      </c>
      <c r="AE104" s="33">
        <f t="shared" si="56"/>
        <v>52.781194153859012</v>
      </c>
      <c r="AF104" s="59" t="s">
        <v>30</v>
      </c>
      <c r="AG104" s="59" t="s">
        <v>30</v>
      </c>
      <c r="AH104" s="33">
        <f t="shared" si="71"/>
        <v>51.338763948845582</v>
      </c>
      <c r="AI104" s="54" t="s">
        <v>30</v>
      </c>
      <c r="AJ104" s="75"/>
    </row>
    <row r="105" spans="1:36" x14ac:dyDescent="0.25">
      <c r="A105" s="108" t="s">
        <v>93</v>
      </c>
      <c r="B105" s="31">
        <v>60662990.670000002</v>
      </c>
      <c r="C105" s="31">
        <v>298961909.32999998</v>
      </c>
      <c r="D105" s="31">
        <v>267955500</v>
      </c>
      <c r="E105" s="136"/>
      <c r="F105" s="31">
        <v>0</v>
      </c>
      <c r="G105" s="31">
        <v>91669400</v>
      </c>
      <c r="H105" s="31">
        <v>0</v>
      </c>
      <c r="I105" s="31">
        <v>0</v>
      </c>
      <c r="J105" s="31">
        <v>0</v>
      </c>
      <c r="K105" s="31">
        <v>112587848.54000001</v>
      </c>
      <c r="L105" s="31">
        <v>67838000</v>
      </c>
      <c r="M105" s="136"/>
      <c r="N105" s="31">
        <v>0</v>
      </c>
      <c r="O105" s="31">
        <v>44749848.539999999</v>
      </c>
      <c r="P105" s="31">
        <v>0</v>
      </c>
      <c r="Q105" s="31">
        <v>0</v>
      </c>
      <c r="R105" s="33">
        <f t="shared" si="68"/>
        <v>60.662990669999999</v>
      </c>
      <c r="S105" s="33">
        <f t="shared" si="62"/>
        <v>267.95549999999997</v>
      </c>
      <c r="T105" s="33"/>
      <c r="U105" s="33">
        <f t="shared" si="74"/>
        <v>0</v>
      </c>
      <c r="V105" s="33">
        <f t="shared" si="58"/>
        <v>91.669399999999996</v>
      </c>
      <c r="W105" s="33">
        <f t="shared" si="50"/>
        <v>0</v>
      </c>
      <c r="X105" s="33">
        <f t="shared" si="72"/>
        <v>0</v>
      </c>
      <c r="Y105" s="33">
        <f t="shared" si="63"/>
        <v>67.837999999999994</v>
      </c>
      <c r="Z105" s="33"/>
      <c r="AA105" s="33">
        <f t="shared" si="75"/>
        <v>0</v>
      </c>
      <c r="AB105" s="33">
        <f t="shared" si="55"/>
        <v>44.749848540000002</v>
      </c>
      <c r="AC105" s="33">
        <f t="shared" si="76"/>
        <v>0</v>
      </c>
      <c r="AD105" s="33">
        <f t="shared" ref="AD105" si="77">X105/R105%</f>
        <v>0</v>
      </c>
      <c r="AE105" s="33">
        <f t="shared" si="56"/>
        <v>25.316890304546838</v>
      </c>
      <c r="AF105" s="59" t="s">
        <v>30</v>
      </c>
      <c r="AG105" s="59" t="s">
        <v>30</v>
      </c>
      <c r="AH105" s="33">
        <f t="shared" si="71"/>
        <v>48.816560968000232</v>
      </c>
      <c r="AI105" s="54" t="s">
        <v>30</v>
      </c>
      <c r="AJ105" s="75"/>
    </row>
    <row r="106" spans="1:36" ht="26.4" x14ac:dyDescent="0.25">
      <c r="A106" s="108" t="s">
        <v>94</v>
      </c>
      <c r="B106" s="31">
        <v>0</v>
      </c>
      <c r="C106" s="31">
        <v>2246198022.0599999</v>
      </c>
      <c r="D106" s="31">
        <v>1992310000</v>
      </c>
      <c r="E106" s="136"/>
      <c r="F106" s="31">
        <v>0</v>
      </c>
      <c r="G106" s="31">
        <v>253888022.06</v>
      </c>
      <c r="H106" s="31">
        <v>0</v>
      </c>
      <c r="I106" s="31">
        <v>0</v>
      </c>
      <c r="J106" s="31">
        <v>0</v>
      </c>
      <c r="K106" s="31">
        <v>1108300154.1500001</v>
      </c>
      <c r="L106" s="31">
        <v>978195880</v>
      </c>
      <c r="M106" s="136"/>
      <c r="N106" s="31">
        <v>0</v>
      </c>
      <c r="O106" s="31">
        <v>130104274.15000001</v>
      </c>
      <c r="P106" s="31">
        <v>0</v>
      </c>
      <c r="Q106" s="31">
        <v>0</v>
      </c>
      <c r="R106" s="33">
        <f t="shared" si="68"/>
        <v>0</v>
      </c>
      <c r="S106" s="33">
        <f t="shared" si="62"/>
        <v>1992.31</v>
      </c>
      <c r="T106" s="33"/>
      <c r="U106" s="33">
        <f t="shared" si="74"/>
        <v>0</v>
      </c>
      <c r="V106" s="33">
        <f t="shared" si="58"/>
        <v>253.88802206</v>
      </c>
      <c r="W106" s="33">
        <f t="shared" si="50"/>
        <v>0</v>
      </c>
      <c r="X106" s="33">
        <f t="shared" si="72"/>
        <v>0</v>
      </c>
      <c r="Y106" s="33">
        <f t="shared" si="63"/>
        <v>978.19587999999999</v>
      </c>
      <c r="Z106" s="33"/>
      <c r="AA106" s="33">
        <f t="shared" si="75"/>
        <v>0</v>
      </c>
      <c r="AB106" s="33">
        <f t="shared" si="55"/>
        <v>130.10427415000001</v>
      </c>
      <c r="AC106" s="33">
        <f t="shared" si="76"/>
        <v>0</v>
      </c>
      <c r="AD106" s="59" t="s">
        <v>30</v>
      </c>
      <c r="AE106" s="33">
        <f t="shared" si="56"/>
        <v>49.098578032535102</v>
      </c>
      <c r="AF106" s="59" t="s">
        <v>30</v>
      </c>
      <c r="AG106" s="59" t="s">
        <v>30</v>
      </c>
      <c r="AH106" s="33">
        <f t="shared" si="71"/>
        <v>51.244746835379722</v>
      </c>
      <c r="AI106" s="54" t="s">
        <v>30</v>
      </c>
      <c r="AJ106" s="36"/>
    </row>
    <row r="107" spans="1:36" s="44" customFormat="1" x14ac:dyDescent="0.3">
      <c r="A107" s="137" t="s">
        <v>95</v>
      </c>
      <c r="B107" s="138">
        <f t="shared" ref="B107:P107" si="78">B50+B52+B54+B56+B75+B85+B87+B89+B91+B97+B99+B101+B102+B103</f>
        <v>84842281635.839996</v>
      </c>
      <c r="C107" s="138">
        <f t="shared" si="78"/>
        <v>21694238545.419998</v>
      </c>
      <c r="D107" s="138">
        <f t="shared" si="78"/>
        <v>70409311413.679993</v>
      </c>
      <c r="E107" s="138">
        <f t="shared" si="78"/>
        <v>34287187815.390003</v>
      </c>
      <c r="F107" s="138">
        <f t="shared" si="78"/>
        <v>19240049843.240002</v>
      </c>
      <c r="G107" s="138">
        <f t="shared" si="78"/>
        <v>13928580359.109999</v>
      </c>
      <c r="H107" s="138">
        <f t="shared" si="78"/>
        <v>1300056372.5499997</v>
      </c>
      <c r="I107" s="138">
        <f t="shared" ref="I107" si="79">I50+I52+I54+I56+I75+I85+I87+I89+I91+I97+I99+I101+I102+I103</f>
        <v>1658522192.6799998</v>
      </c>
      <c r="J107" s="138">
        <f t="shared" si="78"/>
        <v>39720547126.049995</v>
      </c>
      <c r="K107" s="138">
        <f t="shared" si="78"/>
        <v>10911846826.719999</v>
      </c>
      <c r="L107" s="138">
        <f t="shared" si="78"/>
        <v>33119235066.929996</v>
      </c>
      <c r="M107" s="138">
        <f t="shared" si="78"/>
        <v>16874562254.079996</v>
      </c>
      <c r="N107" s="138">
        <f t="shared" si="78"/>
        <v>9353283441.8400002</v>
      </c>
      <c r="O107" s="138">
        <f t="shared" si="78"/>
        <v>7084471815.8999996</v>
      </c>
      <c r="P107" s="138">
        <f t="shared" si="78"/>
        <v>511704657.73000002</v>
      </c>
      <c r="Q107" s="138">
        <f t="shared" ref="Q107" si="80">Q50+Q52+Q54+Q56+Q75+Q85+Q87+Q89+Q91+Q97+Q99+Q101+Q102+Q103</f>
        <v>563698970.37</v>
      </c>
      <c r="R107" s="139">
        <f t="shared" si="68"/>
        <v>84842.281635840001</v>
      </c>
      <c r="S107" s="139">
        <f t="shared" si="62"/>
        <v>70409.31141368</v>
      </c>
      <c r="T107" s="139">
        <f>E107/1000000</f>
        <v>34287.187815390003</v>
      </c>
      <c r="U107" s="139">
        <f t="shared" si="74"/>
        <v>19240.049843240002</v>
      </c>
      <c r="V107" s="139">
        <f t="shared" si="58"/>
        <v>13928.580359109999</v>
      </c>
      <c r="W107" s="139">
        <f t="shared" si="50"/>
        <v>2958.5785652299996</v>
      </c>
      <c r="X107" s="139">
        <f t="shared" si="72"/>
        <v>39720.547126049998</v>
      </c>
      <c r="Y107" s="139">
        <f t="shared" si="63"/>
        <v>33119.235066929999</v>
      </c>
      <c r="Z107" s="139">
        <f>M107/1000000</f>
        <v>16874.562254079996</v>
      </c>
      <c r="AA107" s="139">
        <f t="shared" si="75"/>
        <v>9353.2834418399998</v>
      </c>
      <c r="AB107" s="139">
        <f t="shared" si="55"/>
        <v>7084.4718158999995</v>
      </c>
      <c r="AC107" s="139">
        <f>(P107+Q107)/1000000</f>
        <v>1075.4036280999999</v>
      </c>
      <c r="AD107" s="139">
        <f>X107/R107%</f>
        <v>46.816924722202202</v>
      </c>
      <c r="AE107" s="139">
        <f t="shared" si="56"/>
        <v>47.038146520625091</v>
      </c>
      <c r="AF107" s="139">
        <f>Z107/T107%</f>
        <v>49.21535806592383</v>
      </c>
      <c r="AG107" s="139">
        <f>AA107/U107%</f>
        <v>48.613613364033355</v>
      </c>
      <c r="AH107" s="139">
        <f t="shared" si="71"/>
        <v>50.862841964123028</v>
      </c>
      <c r="AI107" s="140">
        <f>AC107/W107%</f>
        <v>36.348658803197885</v>
      </c>
      <c r="AJ107" s="80"/>
    </row>
    <row r="108" spans="1:36" s="72" customFormat="1" hidden="1" x14ac:dyDescent="0.3">
      <c r="A108" s="141" t="s">
        <v>96</v>
      </c>
      <c r="B108" s="142">
        <f t="shared" ref="B108:P108" si="81">B107-B49</f>
        <v>0</v>
      </c>
      <c r="C108" s="142">
        <f t="shared" si="81"/>
        <v>0</v>
      </c>
      <c r="D108" s="142">
        <f t="shared" si="81"/>
        <v>0</v>
      </c>
      <c r="E108" s="142">
        <f t="shared" si="81"/>
        <v>0</v>
      </c>
      <c r="F108" s="142">
        <f t="shared" si="81"/>
        <v>0</v>
      </c>
      <c r="G108" s="142">
        <f t="shared" si="81"/>
        <v>0</v>
      </c>
      <c r="H108" s="142">
        <f t="shared" si="81"/>
        <v>0</v>
      </c>
      <c r="I108" s="142">
        <f t="shared" ref="I108" si="82">I107-I49</f>
        <v>0</v>
      </c>
      <c r="J108" s="142">
        <f t="shared" si="81"/>
        <v>0</v>
      </c>
      <c r="K108" s="142">
        <f t="shared" si="81"/>
        <v>0</v>
      </c>
      <c r="L108" s="142">
        <f t="shared" si="81"/>
        <v>0</v>
      </c>
      <c r="M108" s="142">
        <f t="shared" si="81"/>
        <v>0</v>
      </c>
      <c r="N108" s="142">
        <f t="shared" si="81"/>
        <v>0</v>
      </c>
      <c r="O108" s="142">
        <f t="shared" si="81"/>
        <v>0</v>
      </c>
      <c r="P108" s="142">
        <f t="shared" si="81"/>
        <v>0</v>
      </c>
      <c r="Q108" s="142">
        <f t="shared" ref="Q108" si="83">Q107-Q49</f>
        <v>0</v>
      </c>
      <c r="R108" s="143">
        <f t="shared" si="68"/>
        <v>0</v>
      </c>
      <c r="S108" s="143">
        <f t="shared" si="62"/>
        <v>0</v>
      </c>
      <c r="T108" s="143">
        <f>E108/1000000</f>
        <v>0</v>
      </c>
      <c r="U108" s="143">
        <f t="shared" si="74"/>
        <v>0</v>
      </c>
      <c r="V108" s="143">
        <f t="shared" si="58"/>
        <v>0</v>
      </c>
      <c r="W108" s="143">
        <f t="shared" si="50"/>
        <v>0</v>
      </c>
      <c r="X108" s="143">
        <f t="shared" si="72"/>
        <v>0</v>
      </c>
      <c r="Y108" s="143">
        <f t="shared" si="63"/>
        <v>0</v>
      </c>
      <c r="Z108" s="143">
        <f>M108/1000000</f>
        <v>0</v>
      </c>
      <c r="AA108" s="143">
        <f t="shared" si="75"/>
        <v>0</v>
      </c>
      <c r="AB108" s="143">
        <f t="shared" si="55"/>
        <v>0</v>
      </c>
      <c r="AC108" s="211">
        <f t="shared" si="76"/>
        <v>0</v>
      </c>
      <c r="AD108" s="144"/>
      <c r="AE108" s="144"/>
      <c r="AF108" s="144"/>
      <c r="AG108" s="144"/>
      <c r="AH108" s="144"/>
      <c r="AI108" s="145"/>
      <c r="AJ108" s="146"/>
    </row>
    <row r="109" spans="1:36" x14ac:dyDescent="0.3">
      <c r="A109" s="147" t="s">
        <v>61</v>
      </c>
      <c r="B109" s="148">
        <v>2490149752.6000004</v>
      </c>
      <c r="C109" s="148">
        <v>21693527078.750004</v>
      </c>
      <c r="D109" s="148">
        <v>22343655879.159996</v>
      </c>
      <c r="E109" s="149">
        <f>F109+G109+H109+I109</f>
        <v>1840020952.1900001</v>
      </c>
      <c r="F109" s="149">
        <v>0</v>
      </c>
      <c r="G109" s="149">
        <v>1737016839.23</v>
      </c>
      <c r="H109" s="149">
        <v>40180763.75</v>
      </c>
      <c r="I109" s="149">
        <v>62823349.210000001</v>
      </c>
      <c r="J109" s="149">
        <v>12600345.98</v>
      </c>
      <c r="K109" s="149">
        <v>10911846826.719999</v>
      </c>
      <c r="L109" s="149">
        <v>10285850540.939999</v>
      </c>
      <c r="M109" s="149">
        <f>N109+O109+P109+Q109</f>
        <v>638596631.76000011</v>
      </c>
      <c r="N109" s="149">
        <v>0</v>
      </c>
      <c r="O109" s="149">
        <v>587612650.73000002</v>
      </c>
      <c r="P109" s="150">
        <v>19373974.710000001</v>
      </c>
      <c r="Q109" s="150">
        <v>31610006.32</v>
      </c>
      <c r="R109" s="58">
        <f t="shared" si="68"/>
        <v>2490.1497526000003</v>
      </c>
      <c r="S109" s="58">
        <f t="shared" si="62"/>
        <v>22343.655879159996</v>
      </c>
      <c r="T109" s="58">
        <f>E109/1000000</f>
        <v>1840.0209521900001</v>
      </c>
      <c r="U109" s="58">
        <f t="shared" si="74"/>
        <v>0</v>
      </c>
      <c r="V109" s="58">
        <f t="shared" si="58"/>
        <v>1737.01683923</v>
      </c>
      <c r="W109" s="58">
        <f t="shared" si="50"/>
        <v>103.00411296000001</v>
      </c>
      <c r="X109" s="58">
        <f>J109/1000000</f>
        <v>12.60034598</v>
      </c>
      <c r="Y109" s="58">
        <f t="shared" si="63"/>
        <v>10285.850540939999</v>
      </c>
      <c r="Z109" s="58">
        <f>M109/1000000</f>
        <v>638.59663176000015</v>
      </c>
      <c r="AA109" s="58">
        <f t="shared" si="75"/>
        <v>0</v>
      </c>
      <c r="AB109" s="58">
        <f t="shared" si="55"/>
        <v>587.61265073000004</v>
      </c>
      <c r="AC109" s="33">
        <f t="shared" si="76"/>
        <v>50.983981030000002</v>
      </c>
      <c r="AD109" s="58">
        <f>X109/R109%</f>
        <v>0.5060075590571933</v>
      </c>
      <c r="AE109" s="58">
        <f>Y109/S109%</f>
        <v>46.034769764484452</v>
      </c>
      <c r="AF109" s="58">
        <f>Z109/T109%</f>
        <v>34.705943483955437</v>
      </c>
      <c r="AG109" s="151" t="s">
        <v>30</v>
      </c>
      <c r="AH109" s="58">
        <f t="shared" si="71"/>
        <v>33.828840196533854</v>
      </c>
      <c r="AI109" s="152">
        <f>AC109/W109%</f>
        <v>49.497034210467703</v>
      </c>
      <c r="AJ109" s="153"/>
    </row>
    <row r="110" spans="1:36" s="71" customFormat="1" hidden="1" x14ac:dyDescent="0.3">
      <c r="A110" s="154" t="s">
        <v>97</v>
      </c>
      <c r="B110" s="155">
        <f>(B51+B53+B55+B57+B76+B86+B88+B90+B92+B98+B100+B103)-B109</f>
        <v>0</v>
      </c>
      <c r="C110" s="155">
        <f>(C51+C53+C55+C57+C76+C86+C88+C90+C92+C98+C100+C103)-C109</f>
        <v>0</v>
      </c>
      <c r="D110" s="155">
        <f>(D51+D53+D55+D57+D76+D86+D88+D90+D92+D98+D100+D103)-D109</f>
        <v>0</v>
      </c>
      <c r="E110" s="155">
        <f>(E51+E53+E55+E57+E76+E86+E88+E90+E92+E98+E100+E103)-E109+G103+H103</f>
        <v>5.9604644775390625E-8</v>
      </c>
      <c r="F110" s="155">
        <f t="shared" ref="F110:L110" si="84">(F51+F53+F55+F57+F76+F86+F88+F90+F92+F98+F100+F103)-F109</f>
        <v>0</v>
      </c>
      <c r="G110" s="155">
        <f t="shared" si="84"/>
        <v>0</v>
      </c>
      <c r="H110" s="155">
        <f t="shared" si="84"/>
        <v>0</v>
      </c>
      <c r="I110" s="155"/>
      <c r="J110" s="155">
        <f t="shared" si="84"/>
        <v>0</v>
      </c>
      <c r="K110" s="155">
        <f t="shared" si="84"/>
        <v>0</v>
      </c>
      <c r="L110" s="155">
        <f t="shared" si="84"/>
        <v>0</v>
      </c>
      <c r="M110" s="155">
        <f>(M51+M53+M55+M57+M76+M86+M88+M90+M92+M98+M100+M103)-M109+O103+P103</f>
        <v>-8.9406967163085938E-8</v>
      </c>
      <c r="N110" s="155">
        <f>(N51+N53+N55+N57+N76+N86+N88+N90+N92+N98+N100+N103)-N109</f>
        <v>0</v>
      </c>
      <c r="O110" s="155">
        <f>(O51+O53+O55+O57+O76+O86+O88+O90+O92+O98+O100+O103)-O109</f>
        <v>0</v>
      </c>
      <c r="P110" s="155">
        <f>(P51+P53+P55+P57+P76+P86+P88+P90+P92+P98+P100+P103)-P109</f>
        <v>0</v>
      </c>
      <c r="Q110" s="155">
        <f>(Q51+Q53+Q55+Q57+Q76+Q86+Q88+Q90+Q92+Q98+Q100+Q103)-Q109</f>
        <v>0</v>
      </c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56"/>
      <c r="AF110" s="156"/>
      <c r="AG110" s="156"/>
      <c r="AH110" s="156"/>
      <c r="AI110" s="157"/>
      <c r="AJ110" s="158"/>
    </row>
    <row r="111" spans="1:36" s="44" customFormat="1" ht="27" thickBot="1" x14ac:dyDescent="0.35">
      <c r="A111" s="76" t="s">
        <v>98</v>
      </c>
      <c r="B111" s="159">
        <f>B37-B107</f>
        <v>-8031703560.3600006</v>
      </c>
      <c r="C111" s="159"/>
      <c r="D111" s="159">
        <f t="shared" ref="D111:J111" si="85">D37-D107</f>
        <v>-5545483416.0699921</v>
      </c>
      <c r="E111" s="159">
        <f t="shared" si="85"/>
        <v>-2486220144.2900009</v>
      </c>
      <c r="F111" s="159">
        <f t="shared" si="85"/>
        <v>-1139480531.1100006</v>
      </c>
      <c r="G111" s="159">
        <f t="shared" si="85"/>
        <v>-526042940.70999908</v>
      </c>
      <c r="H111" s="159">
        <f t="shared" si="85"/>
        <v>-530596951.25999975</v>
      </c>
      <c r="I111" s="159">
        <f t="shared" si="85"/>
        <v>-290099721.2099998</v>
      </c>
      <c r="J111" s="159">
        <f t="shared" si="85"/>
        <v>-4674540047.5299988</v>
      </c>
      <c r="K111" s="159"/>
      <c r="L111" s="159">
        <f t="shared" ref="L111:Q111" si="86">L37-L107</f>
        <v>-3159784605.6999931</v>
      </c>
      <c r="M111" s="159">
        <f t="shared" si="86"/>
        <v>-1514755441.8299961</v>
      </c>
      <c r="N111" s="159">
        <f t="shared" si="86"/>
        <v>-559584679.23999977</v>
      </c>
      <c r="O111" s="159">
        <f t="shared" si="86"/>
        <v>-298210128.67999935</v>
      </c>
      <c r="P111" s="159">
        <f t="shared" si="86"/>
        <v>-429353062.72000003</v>
      </c>
      <c r="Q111" s="159">
        <f t="shared" si="86"/>
        <v>-227607571.19</v>
      </c>
      <c r="R111" s="78">
        <f t="shared" si="68"/>
        <v>-8031.7035603600007</v>
      </c>
      <c r="S111" s="78">
        <f t="shared" ref="S111:V112" si="87">D111/1000000</f>
        <v>-5545.483416069992</v>
      </c>
      <c r="T111" s="78">
        <f t="shared" si="87"/>
        <v>-2486.2201442900009</v>
      </c>
      <c r="U111" s="78">
        <f t="shared" si="87"/>
        <v>-1139.4805311100006</v>
      </c>
      <c r="V111" s="78">
        <f t="shared" si="87"/>
        <v>-526.04294070999913</v>
      </c>
      <c r="W111" s="78">
        <f t="shared" si="50"/>
        <v>-820.6966724699995</v>
      </c>
      <c r="X111" s="78">
        <f t="shared" ref="X111" si="88">J111/1000000</f>
        <v>-4674.5400475299984</v>
      </c>
      <c r="Y111" s="78">
        <f t="shared" ref="Y111:AB112" si="89">L111/1000000</f>
        <v>-3159.7846056999933</v>
      </c>
      <c r="Z111" s="78">
        <f t="shared" si="89"/>
        <v>-1514.755441829996</v>
      </c>
      <c r="AA111" s="78">
        <f t="shared" si="89"/>
        <v>-559.58467923999979</v>
      </c>
      <c r="AB111" s="78">
        <f t="shared" si="89"/>
        <v>-298.21012867999934</v>
      </c>
      <c r="AC111" s="78">
        <f t="shared" si="76"/>
        <v>-656.96063391000007</v>
      </c>
      <c r="AD111" s="160" t="s">
        <v>99</v>
      </c>
      <c r="AE111" s="160" t="s">
        <v>99</v>
      </c>
      <c r="AF111" s="160" t="s">
        <v>99</v>
      </c>
      <c r="AG111" s="160" t="s">
        <v>99</v>
      </c>
      <c r="AH111" s="160" t="s">
        <v>99</v>
      </c>
      <c r="AI111" s="161" t="s">
        <v>99</v>
      </c>
      <c r="AJ111" s="162"/>
    </row>
    <row r="112" spans="1:36" s="44" customFormat="1" ht="13.8" hidden="1" thickTop="1" x14ac:dyDescent="0.3">
      <c r="A112" s="163" t="s">
        <v>100</v>
      </c>
      <c r="B112" s="164">
        <v>-8031703560.3599997</v>
      </c>
      <c r="C112" s="164">
        <v>0</v>
      </c>
      <c r="D112" s="164">
        <v>-5545483416.0699997</v>
      </c>
      <c r="E112" s="165">
        <f>F112+G112+H112+I112</f>
        <v>-2486220144.29</v>
      </c>
      <c r="F112" s="164">
        <v>-1139480531.1099999</v>
      </c>
      <c r="G112" s="164">
        <v>-526042940.70999998</v>
      </c>
      <c r="H112" s="164">
        <v>-530596951.25999999</v>
      </c>
      <c r="I112" s="164">
        <v>-290099721.20999998</v>
      </c>
      <c r="J112" s="164">
        <v>-4674540047.5299997</v>
      </c>
      <c r="K112" s="164">
        <v>0</v>
      </c>
      <c r="L112" s="164">
        <v>-3159784605.6999998</v>
      </c>
      <c r="M112" s="165">
        <f>N112+O112+P112+Q112</f>
        <v>-1514755441.8300002</v>
      </c>
      <c r="N112" s="164">
        <v>-559584679.24000001</v>
      </c>
      <c r="O112" s="164">
        <v>-298210128.68000001</v>
      </c>
      <c r="P112" s="164">
        <v>-429353062.72000003</v>
      </c>
      <c r="Q112" s="164">
        <v>-227607571.19</v>
      </c>
      <c r="R112" s="166">
        <f>B112/1000000</f>
        <v>-8031.7035603599998</v>
      </c>
      <c r="S112" s="166">
        <f t="shared" si="87"/>
        <v>-5545.4834160699993</v>
      </c>
      <c r="T112" s="166">
        <f t="shared" si="87"/>
        <v>-2486.22014429</v>
      </c>
      <c r="U112" s="166">
        <f t="shared" si="87"/>
        <v>-1139.4805311099999</v>
      </c>
      <c r="V112" s="166">
        <f t="shared" si="87"/>
        <v>-526.04294070999993</v>
      </c>
      <c r="W112" s="166">
        <f t="shared" si="50"/>
        <v>-820.69667247000007</v>
      </c>
      <c r="X112" s="166">
        <f t="shared" ref="X112" si="90">J112/1000000</f>
        <v>-4674.5400475299994</v>
      </c>
      <c r="Y112" s="166">
        <f t="shared" si="89"/>
        <v>-3159.7846056999997</v>
      </c>
      <c r="Z112" s="166">
        <f t="shared" si="89"/>
        <v>-1514.7554418300001</v>
      </c>
      <c r="AA112" s="166">
        <f t="shared" si="89"/>
        <v>-559.58467924000001</v>
      </c>
      <c r="AB112" s="166">
        <f t="shared" si="89"/>
        <v>-298.21012868000003</v>
      </c>
      <c r="AC112" s="166">
        <f t="shared" si="76"/>
        <v>-656.96063391000007</v>
      </c>
      <c r="AD112" s="166"/>
      <c r="AE112" s="166"/>
      <c r="AF112" s="166"/>
      <c r="AG112" s="166"/>
      <c r="AH112" s="166"/>
      <c r="AI112" s="167"/>
      <c r="AJ112" s="168"/>
    </row>
    <row r="113" spans="1:36" s="44" customFormat="1" ht="13.8" hidden="1" thickBot="1" x14ac:dyDescent="0.35">
      <c r="A113" s="169" t="s">
        <v>101</v>
      </c>
      <c r="B113" s="170">
        <f>B111-B112</f>
        <v>0</v>
      </c>
      <c r="C113" s="170"/>
      <c r="D113" s="170">
        <f t="shared" ref="D113:AC113" si="91">D111-D112</f>
        <v>7.62939453125E-6</v>
      </c>
      <c r="E113" s="170">
        <f t="shared" si="91"/>
        <v>0</v>
      </c>
      <c r="F113" s="170">
        <f t="shared" si="91"/>
        <v>0</v>
      </c>
      <c r="G113" s="170">
        <f t="shared" si="91"/>
        <v>8.9406967163085938E-7</v>
      </c>
      <c r="H113" s="170">
        <f t="shared" si="91"/>
        <v>0</v>
      </c>
      <c r="I113" s="170">
        <f t="shared" si="91"/>
        <v>0</v>
      </c>
      <c r="J113" s="170">
        <f t="shared" si="91"/>
        <v>0</v>
      </c>
      <c r="K113" s="170"/>
      <c r="L113" s="170">
        <f t="shared" si="91"/>
        <v>6.67572021484375E-6</v>
      </c>
      <c r="M113" s="170">
        <f t="shared" si="91"/>
        <v>4.0531158447265625E-6</v>
      </c>
      <c r="N113" s="170">
        <f t="shared" si="91"/>
        <v>0</v>
      </c>
      <c r="O113" s="170">
        <f t="shared" si="91"/>
        <v>6.5565109252929688E-7</v>
      </c>
      <c r="P113" s="170">
        <f t="shared" si="91"/>
        <v>0</v>
      </c>
      <c r="Q113" s="170">
        <f t="shared" ref="Q113" si="92">Q111-Q112</f>
        <v>0</v>
      </c>
      <c r="R113" s="170">
        <f t="shared" si="91"/>
        <v>0</v>
      </c>
      <c r="S113" s="170">
        <f t="shared" si="91"/>
        <v>7.2759576141834259E-12</v>
      </c>
      <c r="T113" s="170">
        <f t="shared" si="91"/>
        <v>0</v>
      </c>
      <c r="U113" s="170">
        <f t="shared" si="91"/>
        <v>0</v>
      </c>
      <c r="V113" s="170">
        <f t="shared" si="91"/>
        <v>0</v>
      </c>
      <c r="W113" s="170">
        <f t="shared" si="91"/>
        <v>0</v>
      </c>
      <c r="X113" s="170">
        <f t="shared" si="91"/>
        <v>0</v>
      </c>
      <c r="Y113" s="170">
        <f t="shared" si="91"/>
        <v>6.3664629124104977E-12</v>
      </c>
      <c r="Z113" s="170">
        <f t="shared" si="91"/>
        <v>4.0927261579781771E-12</v>
      </c>
      <c r="AA113" s="170">
        <f t="shared" si="91"/>
        <v>0</v>
      </c>
      <c r="AB113" s="170">
        <f t="shared" si="91"/>
        <v>6.8212102632969618E-13</v>
      </c>
      <c r="AC113" s="170">
        <f t="shared" si="91"/>
        <v>0</v>
      </c>
      <c r="AD113" s="171"/>
      <c r="AE113" s="171"/>
      <c r="AF113" s="171"/>
      <c r="AG113" s="171"/>
      <c r="AH113" s="171"/>
      <c r="AI113" s="172"/>
      <c r="AJ113" s="168"/>
    </row>
    <row r="114" spans="1:36" ht="13.5" customHeight="1" thickTop="1" x14ac:dyDescent="0.3">
      <c r="A114" s="392" t="s">
        <v>0</v>
      </c>
      <c r="B114" s="376" t="s">
        <v>123</v>
      </c>
      <c r="C114" s="377"/>
      <c r="D114" s="377"/>
      <c r="E114" s="377"/>
      <c r="F114" s="377"/>
      <c r="G114" s="377"/>
      <c r="H114" s="377"/>
      <c r="I114" s="378"/>
      <c r="J114" s="376" t="s">
        <v>124</v>
      </c>
      <c r="K114" s="377"/>
      <c r="L114" s="377"/>
      <c r="M114" s="377"/>
      <c r="N114" s="377"/>
      <c r="O114" s="377"/>
      <c r="P114" s="377"/>
      <c r="Q114" s="378"/>
      <c r="R114" s="394" t="s">
        <v>125</v>
      </c>
      <c r="S114" s="394"/>
      <c r="T114" s="394"/>
      <c r="U114" s="394"/>
      <c r="V114" s="394"/>
      <c r="W114" s="394"/>
      <c r="X114" s="394" t="s">
        <v>126</v>
      </c>
      <c r="Y114" s="394"/>
      <c r="Z114" s="394"/>
      <c r="AA114" s="394"/>
      <c r="AB114" s="394"/>
      <c r="AC114" s="394"/>
      <c r="AD114" s="394" t="s">
        <v>1</v>
      </c>
      <c r="AE114" s="394"/>
      <c r="AF114" s="394"/>
      <c r="AG114" s="394"/>
      <c r="AH114" s="394"/>
      <c r="AI114" s="395"/>
      <c r="AJ114" s="9"/>
    </row>
    <row r="115" spans="1:36" ht="12.75" customHeight="1" x14ac:dyDescent="0.3">
      <c r="A115" s="393"/>
      <c r="B115" s="387" t="s">
        <v>2</v>
      </c>
      <c r="C115" s="382" t="s">
        <v>3</v>
      </c>
      <c r="D115" s="383"/>
      <c r="E115" s="383"/>
      <c r="F115" s="383"/>
      <c r="G115" s="383"/>
      <c r="H115" s="383"/>
      <c r="I115" s="384"/>
      <c r="J115" s="387" t="s">
        <v>2</v>
      </c>
      <c r="K115" s="382" t="s">
        <v>3</v>
      </c>
      <c r="L115" s="383"/>
      <c r="M115" s="383"/>
      <c r="N115" s="383"/>
      <c r="O115" s="383"/>
      <c r="P115" s="383"/>
      <c r="Q115" s="384"/>
      <c r="R115" s="387" t="s">
        <v>2</v>
      </c>
      <c r="S115" s="396" t="s">
        <v>4</v>
      </c>
      <c r="T115" s="396"/>
      <c r="U115" s="396"/>
      <c r="V115" s="396"/>
      <c r="W115" s="396"/>
      <c r="X115" s="387" t="s">
        <v>2</v>
      </c>
      <c r="Y115" s="396" t="s">
        <v>4</v>
      </c>
      <c r="Z115" s="396"/>
      <c r="AA115" s="396"/>
      <c r="AB115" s="396"/>
      <c r="AC115" s="396"/>
      <c r="AD115" s="385" t="s">
        <v>2</v>
      </c>
      <c r="AE115" s="396" t="s">
        <v>4</v>
      </c>
      <c r="AF115" s="396"/>
      <c r="AG115" s="396"/>
      <c r="AH115" s="396"/>
      <c r="AI115" s="397"/>
      <c r="AJ115" s="9"/>
    </row>
    <row r="116" spans="1:36" ht="12.75" customHeight="1" x14ac:dyDescent="0.3">
      <c r="A116" s="393"/>
      <c r="B116" s="387"/>
      <c r="C116" s="398" t="s">
        <v>5</v>
      </c>
      <c r="D116" s="387" t="s">
        <v>6</v>
      </c>
      <c r="E116" s="387" t="s">
        <v>7</v>
      </c>
      <c r="F116" s="379" t="s">
        <v>8</v>
      </c>
      <c r="G116" s="380"/>
      <c r="H116" s="380"/>
      <c r="I116" s="381"/>
      <c r="J116" s="387"/>
      <c r="K116" s="398" t="s">
        <v>5</v>
      </c>
      <c r="L116" s="387" t="s">
        <v>6</v>
      </c>
      <c r="M116" s="387" t="s">
        <v>7</v>
      </c>
      <c r="N116" s="379" t="s">
        <v>8</v>
      </c>
      <c r="O116" s="380"/>
      <c r="P116" s="380"/>
      <c r="Q116" s="381"/>
      <c r="R116" s="387"/>
      <c r="S116" s="387" t="s">
        <v>6</v>
      </c>
      <c r="T116" s="385" t="s">
        <v>7</v>
      </c>
      <c r="U116" s="386" t="s">
        <v>8</v>
      </c>
      <c r="V116" s="386"/>
      <c r="W116" s="386"/>
      <c r="X116" s="387"/>
      <c r="Y116" s="387" t="s">
        <v>6</v>
      </c>
      <c r="Z116" s="385" t="s">
        <v>7</v>
      </c>
      <c r="AA116" s="386" t="s">
        <v>8</v>
      </c>
      <c r="AB116" s="386"/>
      <c r="AC116" s="386"/>
      <c r="AD116" s="385"/>
      <c r="AE116" s="385" t="s">
        <v>6</v>
      </c>
      <c r="AF116" s="385" t="s">
        <v>7</v>
      </c>
      <c r="AG116" s="389" t="s">
        <v>8</v>
      </c>
      <c r="AH116" s="389"/>
      <c r="AI116" s="390"/>
      <c r="AJ116" s="11"/>
    </row>
    <row r="117" spans="1:36" ht="54.75" customHeight="1" x14ac:dyDescent="0.3">
      <c r="A117" s="393"/>
      <c r="B117" s="387"/>
      <c r="C117" s="399"/>
      <c r="D117" s="387"/>
      <c r="E117" s="387"/>
      <c r="F117" s="12" t="s">
        <v>9</v>
      </c>
      <c r="G117" s="12" t="s">
        <v>10</v>
      </c>
      <c r="H117" s="12" t="s">
        <v>121</v>
      </c>
      <c r="I117" s="12" t="s">
        <v>122</v>
      </c>
      <c r="J117" s="387"/>
      <c r="K117" s="399"/>
      <c r="L117" s="387"/>
      <c r="M117" s="387"/>
      <c r="N117" s="12" t="s">
        <v>9</v>
      </c>
      <c r="O117" s="12" t="s">
        <v>10</v>
      </c>
      <c r="P117" s="12" t="s">
        <v>121</v>
      </c>
      <c r="Q117" s="12" t="s">
        <v>122</v>
      </c>
      <c r="R117" s="387"/>
      <c r="S117" s="387"/>
      <c r="T117" s="385"/>
      <c r="U117" s="12" t="s">
        <v>9</v>
      </c>
      <c r="V117" s="12" t="s">
        <v>10</v>
      </c>
      <c r="W117" s="12" t="s">
        <v>11</v>
      </c>
      <c r="X117" s="387"/>
      <c r="Y117" s="387"/>
      <c r="Z117" s="385"/>
      <c r="AA117" s="12" t="s">
        <v>9</v>
      </c>
      <c r="AB117" s="12" t="s">
        <v>10</v>
      </c>
      <c r="AC117" s="12" t="s">
        <v>11</v>
      </c>
      <c r="AD117" s="385"/>
      <c r="AE117" s="385"/>
      <c r="AF117" s="385"/>
      <c r="AG117" s="13" t="s">
        <v>9</v>
      </c>
      <c r="AH117" s="13" t="s">
        <v>10</v>
      </c>
      <c r="AI117" s="14" t="s">
        <v>12</v>
      </c>
      <c r="AJ117" s="15"/>
    </row>
    <row r="118" spans="1:36" x14ac:dyDescent="0.3">
      <c r="A118" s="16" t="s">
        <v>13</v>
      </c>
      <c r="B118" s="17"/>
      <c r="C118" s="17"/>
      <c r="D118" s="18"/>
      <c r="E118" s="17"/>
      <c r="F118" s="19"/>
      <c r="G118" s="19"/>
      <c r="H118" s="19"/>
      <c r="I118" s="19"/>
      <c r="J118" s="17"/>
      <c r="K118" s="17"/>
      <c r="L118" s="17"/>
      <c r="M118" s="17"/>
      <c r="N118" s="19"/>
      <c r="O118" s="19"/>
      <c r="P118" s="19"/>
      <c r="Q118" s="19"/>
      <c r="R118" s="17" t="s">
        <v>14</v>
      </c>
      <c r="S118" s="17" t="s">
        <v>15</v>
      </c>
      <c r="T118" s="17" t="s">
        <v>16</v>
      </c>
      <c r="U118" s="19">
        <v>4</v>
      </c>
      <c r="V118" s="19">
        <v>5</v>
      </c>
      <c r="W118" s="19">
        <v>6</v>
      </c>
      <c r="X118" s="17" t="s">
        <v>17</v>
      </c>
      <c r="Y118" s="17" t="s">
        <v>18</v>
      </c>
      <c r="Z118" s="17" t="s">
        <v>19</v>
      </c>
      <c r="AA118" s="19">
        <v>10</v>
      </c>
      <c r="AB118" s="19">
        <v>11</v>
      </c>
      <c r="AC118" s="19">
        <v>12</v>
      </c>
      <c r="AD118" s="17" t="s">
        <v>20</v>
      </c>
      <c r="AE118" s="17" t="s">
        <v>21</v>
      </c>
      <c r="AF118" s="17" t="s">
        <v>22</v>
      </c>
      <c r="AG118" s="19" t="s">
        <v>23</v>
      </c>
      <c r="AH118" s="19" t="s">
        <v>24</v>
      </c>
      <c r="AI118" s="20" t="s">
        <v>25</v>
      </c>
      <c r="AJ118" s="21"/>
    </row>
    <row r="119" spans="1:36" s="44" customFormat="1" ht="26.4" x14ac:dyDescent="0.3">
      <c r="A119" s="37" t="s">
        <v>102</v>
      </c>
      <c r="B119" s="173">
        <v>8031703560.3599997</v>
      </c>
      <c r="C119" s="173">
        <v>0</v>
      </c>
      <c r="D119" s="173">
        <v>5545483416.0699997</v>
      </c>
      <c r="E119" s="174">
        <f>F119+G119+H119+I119</f>
        <v>2486220144.29</v>
      </c>
      <c r="F119" s="173">
        <v>1139480531.1099999</v>
      </c>
      <c r="G119" s="173">
        <v>526042940.70999998</v>
      </c>
      <c r="H119" s="173">
        <v>530596951.25999999</v>
      </c>
      <c r="I119" s="173">
        <v>290099721.20999998</v>
      </c>
      <c r="J119" s="173">
        <v>4674540047.5299997</v>
      </c>
      <c r="K119" s="173">
        <v>0</v>
      </c>
      <c r="L119" s="173">
        <v>3159784605.6999998</v>
      </c>
      <c r="M119" s="174">
        <f>N119+O119+P119+Q119</f>
        <v>1514755441.8300002</v>
      </c>
      <c r="N119" s="173">
        <v>559584679.24000001</v>
      </c>
      <c r="O119" s="173">
        <v>298210128.68000001</v>
      </c>
      <c r="P119" s="173">
        <v>429353062.72000003</v>
      </c>
      <c r="Q119" s="173">
        <v>227607571.19</v>
      </c>
      <c r="R119" s="40">
        <f t="shared" ref="R119:R127" si="93">B119/1000000</f>
        <v>8031.7035603599998</v>
      </c>
      <c r="S119" s="40">
        <f t="shared" ref="S119:S127" si="94">D119/1000000</f>
        <v>5545.4834160699993</v>
      </c>
      <c r="T119" s="40">
        <f t="shared" ref="T119:T127" si="95">E119/1000000</f>
        <v>2486.22014429</v>
      </c>
      <c r="U119" s="40">
        <f t="shared" ref="U119:U127" si="96">F119/1000000</f>
        <v>1139.4805311099999</v>
      </c>
      <c r="V119" s="40">
        <f t="shared" ref="V119:V127" si="97">G119/1000000</f>
        <v>526.04294070999993</v>
      </c>
      <c r="W119" s="40">
        <f>(H119+I119)/1000000</f>
        <v>820.69667247000007</v>
      </c>
      <c r="X119" s="40">
        <f t="shared" ref="X119:X127" si="98">J119/1000000</f>
        <v>4674.5400475299994</v>
      </c>
      <c r="Y119" s="40">
        <f t="shared" ref="Y119:Y127" si="99">L119/1000000</f>
        <v>3159.7846056999997</v>
      </c>
      <c r="Z119" s="40">
        <f t="shared" ref="Z119:Z127" si="100">M119/1000000</f>
        <v>1514.7554418300001</v>
      </c>
      <c r="AA119" s="40">
        <f t="shared" ref="AA119:AA127" si="101">N119/1000000</f>
        <v>559.58467924000001</v>
      </c>
      <c r="AB119" s="40">
        <f t="shared" ref="AB119:AB127" si="102">O119/1000000</f>
        <v>298.21012868000003</v>
      </c>
      <c r="AC119" s="40">
        <f>(P119+Q119)/1000000</f>
        <v>656.96063391000007</v>
      </c>
      <c r="AD119" s="33">
        <f>X119/R119%</f>
        <v>58.201102822082682</v>
      </c>
      <c r="AE119" s="33">
        <f t="shared" ref="AE119:AE122" si="103">Y119/S119%</f>
        <v>56.979425752918246</v>
      </c>
      <c r="AF119" s="33">
        <f>Z119/T119%</f>
        <v>60.926038480899479</v>
      </c>
      <c r="AG119" s="33">
        <f>AA119/U119%</f>
        <v>49.108752976664981</v>
      </c>
      <c r="AH119" s="33">
        <f t="shared" ref="AH119" si="104">AB119/V119%</f>
        <v>56.689312906187077</v>
      </c>
      <c r="AI119" s="35">
        <f t="shared" ref="AI119" si="105">AC119/W119%</f>
        <v>80.049140681024852</v>
      </c>
      <c r="AJ119" s="42"/>
    </row>
    <row r="120" spans="1:36" s="44" customFormat="1" x14ac:dyDescent="0.3">
      <c r="A120" s="45" t="s">
        <v>103</v>
      </c>
      <c r="B120" s="173">
        <v>-1543482698.3099999</v>
      </c>
      <c r="C120" s="173">
        <v>0</v>
      </c>
      <c r="D120" s="173">
        <v>-2221680300</v>
      </c>
      <c r="E120" s="175">
        <f t="shared" ref="E120:E126" si="106">F120+G120+H120+I120</f>
        <v>678197601.69000006</v>
      </c>
      <c r="F120" s="173">
        <v>521121874.81999999</v>
      </c>
      <c r="G120" s="173">
        <v>126863730.53</v>
      </c>
      <c r="H120" s="173">
        <v>29558291.34</v>
      </c>
      <c r="I120" s="173">
        <v>653705</v>
      </c>
      <c r="J120" s="173">
        <v>-11966740300</v>
      </c>
      <c r="K120" s="173">
        <v>0</v>
      </c>
      <c r="L120" s="173">
        <v>-11594501100</v>
      </c>
      <c r="M120" s="175">
        <f t="shared" ref="M120:M126" si="107">N120+O120+P120+Q120</f>
        <v>-372239200</v>
      </c>
      <c r="N120" s="173">
        <v>-354200000</v>
      </c>
      <c r="O120" s="173">
        <v>-10839200</v>
      </c>
      <c r="P120" s="173">
        <v>-7200000</v>
      </c>
      <c r="Q120" s="173">
        <v>0</v>
      </c>
      <c r="R120" s="33">
        <f t="shared" si="93"/>
        <v>-1543.4826983099999</v>
      </c>
      <c r="S120" s="33">
        <f t="shared" si="94"/>
        <v>-2221.6803</v>
      </c>
      <c r="T120" s="33">
        <f t="shared" si="95"/>
        <v>678.19760169000006</v>
      </c>
      <c r="U120" s="33">
        <f t="shared" si="96"/>
        <v>521.12187482000002</v>
      </c>
      <c r="V120" s="33">
        <f t="shared" si="97"/>
        <v>126.86373053</v>
      </c>
      <c r="W120" s="33">
        <f t="shared" ref="W120:W126" si="108">(H120+I120)/1000000</f>
        <v>30.211996339999999</v>
      </c>
      <c r="X120" s="33">
        <f t="shared" si="98"/>
        <v>-11966.740299999999</v>
      </c>
      <c r="Y120" s="33">
        <f t="shared" si="99"/>
        <v>-11594.501099999999</v>
      </c>
      <c r="Z120" s="33">
        <f t="shared" si="100"/>
        <v>-372.23919999999998</v>
      </c>
      <c r="AA120" s="33">
        <f t="shared" si="101"/>
        <v>-354.2</v>
      </c>
      <c r="AB120" s="33">
        <f t="shared" si="102"/>
        <v>-10.8392</v>
      </c>
      <c r="AC120" s="33">
        <f t="shared" ref="AC120:AC127" si="109">P120/1000000</f>
        <v>-7.2</v>
      </c>
      <c r="AD120" s="33">
        <f>X120/R120%</f>
        <v>775.30770594984324</v>
      </c>
      <c r="AE120" s="33">
        <f t="shared" si="103"/>
        <v>521.87981772174874</v>
      </c>
      <c r="AF120" s="59" t="s">
        <v>30</v>
      </c>
      <c r="AG120" s="59" t="s">
        <v>30</v>
      </c>
      <c r="AH120" s="59" t="s">
        <v>30</v>
      </c>
      <c r="AI120" s="54" t="s">
        <v>30</v>
      </c>
      <c r="AJ120" s="36"/>
    </row>
    <row r="121" spans="1:36" s="44" customFormat="1" x14ac:dyDescent="0.3">
      <c r="A121" s="45" t="s">
        <v>104</v>
      </c>
      <c r="B121" s="173">
        <v>3286034200</v>
      </c>
      <c r="C121" s="173">
        <v>0</v>
      </c>
      <c r="D121" s="173">
        <v>3286034200</v>
      </c>
      <c r="E121" s="175">
        <f t="shared" si="106"/>
        <v>0</v>
      </c>
      <c r="F121" s="173">
        <v>0</v>
      </c>
      <c r="G121" s="173">
        <v>0</v>
      </c>
      <c r="H121" s="173">
        <v>0</v>
      </c>
      <c r="I121" s="173">
        <v>0</v>
      </c>
      <c r="J121" s="173">
        <v>10512031000</v>
      </c>
      <c r="K121" s="173">
        <v>0</v>
      </c>
      <c r="L121" s="173">
        <v>10158223000</v>
      </c>
      <c r="M121" s="175">
        <f t="shared" si="107"/>
        <v>353808000</v>
      </c>
      <c r="N121" s="173">
        <v>353808000</v>
      </c>
      <c r="O121" s="173">
        <v>0</v>
      </c>
      <c r="P121" s="173">
        <v>0</v>
      </c>
      <c r="Q121" s="173">
        <v>0</v>
      </c>
      <c r="R121" s="33">
        <f t="shared" si="93"/>
        <v>3286.0342000000001</v>
      </c>
      <c r="S121" s="33">
        <f t="shared" si="94"/>
        <v>3286.0342000000001</v>
      </c>
      <c r="T121" s="33">
        <f t="shared" si="95"/>
        <v>0</v>
      </c>
      <c r="U121" s="33">
        <f t="shared" si="96"/>
        <v>0</v>
      </c>
      <c r="V121" s="33">
        <f t="shared" si="97"/>
        <v>0</v>
      </c>
      <c r="W121" s="33">
        <f t="shared" si="108"/>
        <v>0</v>
      </c>
      <c r="X121" s="33">
        <f t="shared" si="98"/>
        <v>10512.031000000001</v>
      </c>
      <c r="Y121" s="33">
        <f t="shared" si="99"/>
        <v>10158.223</v>
      </c>
      <c r="Z121" s="33">
        <f t="shared" si="100"/>
        <v>353.80799999999999</v>
      </c>
      <c r="AA121" s="33">
        <f t="shared" si="101"/>
        <v>353.80799999999999</v>
      </c>
      <c r="AB121" s="33">
        <f t="shared" si="102"/>
        <v>0</v>
      </c>
      <c r="AC121" s="33">
        <f t="shared" si="109"/>
        <v>0</v>
      </c>
      <c r="AD121" s="33">
        <f>X121/R121%</f>
        <v>319.90023110532445</v>
      </c>
      <c r="AE121" s="33">
        <f t="shared" si="103"/>
        <v>309.13320987346992</v>
      </c>
      <c r="AF121" s="59" t="s">
        <v>30</v>
      </c>
      <c r="AG121" s="59" t="s">
        <v>30</v>
      </c>
      <c r="AH121" s="59" t="s">
        <v>30</v>
      </c>
      <c r="AI121" s="54" t="s">
        <v>30</v>
      </c>
      <c r="AJ121" s="36"/>
    </row>
    <row r="122" spans="1:36" s="44" customFormat="1" ht="26.4" x14ac:dyDescent="0.3">
      <c r="A122" s="45" t="s">
        <v>105</v>
      </c>
      <c r="B122" s="173">
        <v>1637211900</v>
      </c>
      <c r="C122" s="173">
        <v>0</v>
      </c>
      <c r="D122" s="173">
        <v>1630911900</v>
      </c>
      <c r="E122" s="175">
        <f t="shared" si="106"/>
        <v>6300000</v>
      </c>
      <c r="F122" s="173">
        <v>6300000</v>
      </c>
      <c r="G122" s="173">
        <v>0</v>
      </c>
      <c r="H122" s="173">
        <v>0</v>
      </c>
      <c r="I122" s="173">
        <v>0</v>
      </c>
      <c r="J122" s="173">
        <v>11134550</v>
      </c>
      <c r="K122" s="173">
        <v>0</v>
      </c>
      <c r="L122" s="173">
        <v>5114550</v>
      </c>
      <c r="M122" s="175">
        <f t="shared" si="107"/>
        <v>6020000</v>
      </c>
      <c r="N122" s="173">
        <v>6020000</v>
      </c>
      <c r="O122" s="173">
        <v>0</v>
      </c>
      <c r="P122" s="173">
        <v>0</v>
      </c>
      <c r="Q122" s="173">
        <v>0</v>
      </c>
      <c r="R122" s="33">
        <f t="shared" si="93"/>
        <v>1637.2119</v>
      </c>
      <c r="S122" s="33">
        <f t="shared" si="94"/>
        <v>1630.9119000000001</v>
      </c>
      <c r="T122" s="33">
        <f t="shared" si="95"/>
        <v>6.3</v>
      </c>
      <c r="U122" s="33">
        <f t="shared" si="96"/>
        <v>6.3</v>
      </c>
      <c r="V122" s="33">
        <f t="shared" si="97"/>
        <v>0</v>
      </c>
      <c r="W122" s="33">
        <f t="shared" si="108"/>
        <v>0</v>
      </c>
      <c r="X122" s="33">
        <f t="shared" si="98"/>
        <v>11.134550000000001</v>
      </c>
      <c r="Y122" s="33">
        <f t="shared" si="99"/>
        <v>5.1145500000000004</v>
      </c>
      <c r="Z122" s="33">
        <f t="shared" si="100"/>
        <v>6.02</v>
      </c>
      <c r="AA122" s="33">
        <f t="shared" si="101"/>
        <v>6.02</v>
      </c>
      <c r="AB122" s="33">
        <f t="shared" si="102"/>
        <v>0</v>
      </c>
      <c r="AC122" s="33">
        <f t="shared" si="109"/>
        <v>0</v>
      </c>
      <c r="AD122" s="33">
        <f>X122/R122%</f>
        <v>0.68009217377420728</v>
      </c>
      <c r="AE122" s="33">
        <f t="shared" si="103"/>
        <v>0.31360063042031888</v>
      </c>
      <c r="AF122" s="33">
        <f>Z122/T122%</f>
        <v>95.555555555555543</v>
      </c>
      <c r="AG122" s="33">
        <f>AA122/U122%</f>
        <v>95.555555555555543</v>
      </c>
      <c r="AH122" s="59" t="s">
        <v>30</v>
      </c>
      <c r="AI122" s="54" t="s">
        <v>30</v>
      </c>
      <c r="AJ122" s="36"/>
    </row>
    <row r="123" spans="1:36" s="44" customFormat="1" ht="26.4" x14ac:dyDescent="0.3">
      <c r="A123" s="45" t="s">
        <v>106</v>
      </c>
      <c r="B123" s="173"/>
      <c r="C123" s="173"/>
      <c r="D123" s="173"/>
      <c r="E123" s="175">
        <f t="shared" si="106"/>
        <v>0</v>
      </c>
      <c r="F123" s="173"/>
      <c r="G123" s="173"/>
      <c r="H123" s="173"/>
      <c r="I123" s="173"/>
      <c r="J123" s="173"/>
      <c r="K123" s="173"/>
      <c r="L123" s="173"/>
      <c r="M123" s="175">
        <f t="shared" si="107"/>
        <v>0</v>
      </c>
      <c r="N123" s="173"/>
      <c r="O123" s="173"/>
      <c r="P123" s="173"/>
      <c r="Q123" s="173"/>
      <c r="R123" s="33">
        <f t="shared" si="93"/>
        <v>0</v>
      </c>
      <c r="S123" s="33">
        <f t="shared" si="94"/>
        <v>0</v>
      </c>
      <c r="T123" s="33">
        <f t="shared" si="95"/>
        <v>0</v>
      </c>
      <c r="U123" s="33">
        <f t="shared" si="96"/>
        <v>0</v>
      </c>
      <c r="V123" s="33">
        <f t="shared" si="97"/>
        <v>0</v>
      </c>
      <c r="W123" s="33">
        <f t="shared" si="108"/>
        <v>0</v>
      </c>
      <c r="X123" s="33">
        <f t="shared" si="98"/>
        <v>0</v>
      </c>
      <c r="Y123" s="33">
        <f t="shared" si="99"/>
        <v>0</v>
      </c>
      <c r="Z123" s="33">
        <f t="shared" si="100"/>
        <v>0</v>
      </c>
      <c r="AA123" s="33">
        <f t="shared" si="101"/>
        <v>0</v>
      </c>
      <c r="AB123" s="33">
        <f t="shared" si="102"/>
        <v>0</v>
      </c>
      <c r="AC123" s="33">
        <f t="shared" si="109"/>
        <v>0</v>
      </c>
      <c r="AD123" s="59" t="s">
        <v>30</v>
      </c>
      <c r="AE123" s="59" t="s">
        <v>30</v>
      </c>
      <c r="AF123" s="59" t="s">
        <v>30</v>
      </c>
      <c r="AG123" s="59" t="s">
        <v>30</v>
      </c>
      <c r="AH123" s="59" t="s">
        <v>30</v>
      </c>
      <c r="AI123" s="54" t="s">
        <v>30</v>
      </c>
      <c r="AJ123" s="36"/>
    </row>
    <row r="124" spans="1:36" s="44" customFormat="1" x14ac:dyDescent="0.3">
      <c r="A124" s="45" t="s">
        <v>107</v>
      </c>
      <c r="B124" s="173">
        <v>165116100</v>
      </c>
      <c r="C124" s="173">
        <v>0</v>
      </c>
      <c r="D124" s="173">
        <v>164666100</v>
      </c>
      <c r="E124" s="175">
        <f t="shared" si="106"/>
        <v>450000</v>
      </c>
      <c r="F124" s="173">
        <v>0</v>
      </c>
      <c r="G124" s="173">
        <v>0</v>
      </c>
      <c r="H124" s="173">
        <v>450000</v>
      </c>
      <c r="I124" s="173">
        <v>0</v>
      </c>
      <c r="J124" s="173">
        <v>0</v>
      </c>
      <c r="K124" s="173">
        <v>0</v>
      </c>
      <c r="L124" s="173">
        <v>0</v>
      </c>
      <c r="M124" s="175">
        <f t="shared" si="107"/>
        <v>0</v>
      </c>
      <c r="N124" s="173">
        <v>0</v>
      </c>
      <c r="O124" s="173">
        <v>0</v>
      </c>
      <c r="P124" s="173">
        <v>0</v>
      </c>
      <c r="Q124" s="173">
        <v>0</v>
      </c>
      <c r="R124" s="33">
        <f t="shared" si="93"/>
        <v>165.11609999999999</v>
      </c>
      <c r="S124" s="33">
        <f t="shared" si="94"/>
        <v>164.6661</v>
      </c>
      <c r="T124" s="33">
        <f t="shared" si="95"/>
        <v>0.45</v>
      </c>
      <c r="U124" s="33">
        <f t="shared" si="96"/>
        <v>0</v>
      </c>
      <c r="V124" s="33">
        <f t="shared" si="97"/>
        <v>0</v>
      </c>
      <c r="W124" s="33">
        <f t="shared" si="108"/>
        <v>0.45</v>
      </c>
      <c r="X124" s="33">
        <f t="shared" si="98"/>
        <v>0</v>
      </c>
      <c r="Y124" s="33">
        <f t="shared" si="99"/>
        <v>0</v>
      </c>
      <c r="Z124" s="33">
        <f t="shared" si="100"/>
        <v>0</v>
      </c>
      <c r="AA124" s="33">
        <f t="shared" si="101"/>
        <v>0</v>
      </c>
      <c r="AB124" s="33">
        <f t="shared" si="102"/>
        <v>0</v>
      </c>
      <c r="AC124" s="33">
        <f t="shared" si="109"/>
        <v>0</v>
      </c>
      <c r="AD124" s="33">
        <f>X124/R124%</f>
        <v>0</v>
      </c>
      <c r="AE124" s="33">
        <f t="shared" ref="AE124" si="110">Y124/S124%</f>
        <v>0</v>
      </c>
      <c r="AF124" s="33">
        <f>Z124/T124%</f>
        <v>0</v>
      </c>
      <c r="AG124" s="59" t="s">
        <v>30</v>
      </c>
      <c r="AH124" s="59" t="s">
        <v>30</v>
      </c>
      <c r="AI124" s="35">
        <f t="shared" ref="AI124" si="111">AC124/W124%</f>
        <v>0</v>
      </c>
      <c r="AJ124" s="36"/>
    </row>
    <row r="125" spans="1:36" s="44" customFormat="1" ht="26.4" x14ac:dyDescent="0.3">
      <c r="A125" s="45" t="s">
        <v>108</v>
      </c>
      <c r="B125" s="173">
        <v>0</v>
      </c>
      <c r="C125" s="173">
        <v>0</v>
      </c>
      <c r="D125" s="173">
        <v>0</v>
      </c>
      <c r="E125" s="175">
        <f t="shared" si="106"/>
        <v>0</v>
      </c>
      <c r="F125" s="173">
        <v>0</v>
      </c>
      <c r="G125" s="173">
        <v>0</v>
      </c>
      <c r="H125" s="173">
        <v>0</v>
      </c>
      <c r="I125" s="173">
        <v>0</v>
      </c>
      <c r="J125" s="173">
        <v>4169179614.9200001</v>
      </c>
      <c r="K125" s="173">
        <v>0</v>
      </c>
      <c r="L125" s="173">
        <v>3190735292.2600002</v>
      </c>
      <c r="M125" s="175">
        <f t="shared" si="107"/>
        <v>978444322.65999997</v>
      </c>
      <c r="N125" s="173">
        <v>521440634.13</v>
      </c>
      <c r="O125" s="173">
        <v>456468181.89999998</v>
      </c>
      <c r="P125" s="173">
        <v>535506.63</v>
      </c>
      <c r="Q125" s="173">
        <v>0</v>
      </c>
      <c r="R125" s="33">
        <f t="shared" si="93"/>
        <v>0</v>
      </c>
      <c r="S125" s="33">
        <f t="shared" si="94"/>
        <v>0</v>
      </c>
      <c r="T125" s="33">
        <f t="shared" si="95"/>
        <v>0</v>
      </c>
      <c r="U125" s="33">
        <f t="shared" si="96"/>
        <v>0</v>
      </c>
      <c r="V125" s="33">
        <f t="shared" si="97"/>
        <v>0</v>
      </c>
      <c r="W125" s="33">
        <f t="shared" si="108"/>
        <v>0</v>
      </c>
      <c r="X125" s="33">
        <f t="shared" si="98"/>
        <v>4169.1796149199999</v>
      </c>
      <c r="Y125" s="33">
        <f t="shared" si="99"/>
        <v>3190.7352922600003</v>
      </c>
      <c r="Z125" s="33">
        <f t="shared" si="100"/>
        <v>978.44432266000001</v>
      </c>
      <c r="AA125" s="33">
        <f t="shared" si="101"/>
        <v>521.44063413000003</v>
      </c>
      <c r="AB125" s="33">
        <f t="shared" si="102"/>
        <v>456.46818189999999</v>
      </c>
      <c r="AC125" s="33">
        <f t="shared" si="109"/>
        <v>0.53550662999999998</v>
      </c>
      <c r="AD125" s="59" t="s">
        <v>30</v>
      </c>
      <c r="AE125" s="59" t="s">
        <v>30</v>
      </c>
      <c r="AF125" s="59" t="s">
        <v>30</v>
      </c>
      <c r="AG125" s="59" t="s">
        <v>30</v>
      </c>
      <c r="AH125" s="59" t="s">
        <v>30</v>
      </c>
      <c r="AI125" s="54" t="s">
        <v>30</v>
      </c>
      <c r="AJ125" s="36"/>
    </row>
    <row r="126" spans="1:36" s="44" customFormat="1" ht="13.8" thickBot="1" x14ac:dyDescent="0.35">
      <c r="A126" s="176" t="s">
        <v>109</v>
      </c>
      <c r="B126" s="177">
        <v>4486824058.6700001</v>
      </c>
      <c r="C126" s="177">
        <v>0</v>
      </c>
      <c r="D126" s="177">
        <v>2685551516.0700002</v>
      </c>
      <c r="E126" s="178">
        <f t="shared" si="106"/>
        <v>1801272542.6000001</v>
      </c>
      <c r="F126" s="177">
        <v>612058656.28999996</v>
      </c>
      <c r="G126" s="177">
        <v>399179210.18000001</v>
      </c>
      <c r="H126" s="177">
        <v>500588659.92000002</v>
      </c>
      <c r="I126" s="177">
        <v>289446016.20999998</v>
      </c>
      <c r="J126" s="177">
        <v>1948935182.6099999</v>
      </c>
      <c r="K126" s="177">
        <v>0</v>
      </c>
      <c r="L126" s="177">
        <v>1400212863.4400001</v>
      </c>
      <c r="M126" s="178">
        <f t="shared" si="107"/>
        <v>548722319.16999996</v>
      </c>
      <c r="N126" s="177">
        <v>32516045.109999999</v>
      </c>
      <c r="O126" s="177">
        <v>-147418853.22</v>
      </c>
      <c r="P126" s="177">
        <v>436017556.08999997</v>
      </c>
      <c r="Q126" s="177">
        <v>227607571.19</v>
      </c>
      <c r="R126" s="179">
        <f t="shared" si="93"/>
        <v>4486.8240586700003</v>
      </c>
      <c r="S126" s="179">
        <f t="shared" si="94"/>
        <v>2685.5515160700002</v>
      </c>
      <c r="T126" s="179">
        <f t="shared" si="95"/>
        <v>1801.2725426000002</v>
      </c>
      <c r="U126" s="179">
        <f t="shared" si="96"/>
        <v>612.05865628999993</v>
      </c>
      <c r="V126" s="179">
        <f t="shared" si="97"/>
        <v>399.17921017999998</v>
      </c>
      <c r="W126" s="179">
        <f t="shared" si="108"/>
        <v>790.03467612999998</v>
      </c>
      <c r="X126" s="179">
        <f t="shared" si="98"/>
        <v>1948.9351826099999</v>
      </c>
      <c r="Y126" s="179">
        <f t="shared" si="99"/>
        <v>1400.2128634400001</v>
      </c>
      <c r="Z126" s="179">
        <f t="shared" si="100"/>
        <v>548.72231916999999</v>
      </c>
      <c r="AA126" s="179">
        <f t="shared" si="101"/>
        <v>32.51604511</v>
      </c>
      <c r="AB126" s="179">
        <f t="shared" si="102"/>
        <v>-147.41885321999999</v>
      </c>
      <c r="AC126" s="179">
        <f t="shared" si="109"/>
        <v>436.01755608999997</v>
      </c>
      <c r="AD126" s="179">
        <f>X126/R126%</f>
        <v>43.436853264705675</v>
      </c>
      <c r="AE126" s="179">
        <f t="shared" ref="AE126" si="112">Y126/S126%</f>
        <v>52.138745246974544</v>
      </c>
      <c r="AF126" s="179">
        <f>Z126/T126%</f>
        <v>30.463036891572273</v>
      </c>
      <c r="AG126" s="179">
        <f>AA126/U126%</f>
        <v>5.3125700904381219</v>
      </c>
      <c r="AH126" s="179">
        <f t="shared" ref="AH126" si="113">AB126/V126%</f>
        <v>-36.930493738269867</v>
      </c>
      <c r="AI126" s="180">
        <f t="shared" ref="AI126" si="114">AC126/W126%</f>
        <v>55.189673221160412</v>
      </c>
      <c r="AJ126" s="36"/>
    </row>
    <row r="127" spans="1:36" s="44" customFormat="1" ht="13.8" hidden="1" thickTop="1" x14ac:dyDescent="0.3">
      <c r="A127" s="181" t="s">
        <v>96</v>
      </c>
      <c r="B127" s="173">
        <f>+B111+B119</f>
        <v>0</v>
      </c>
      <c r="C127" s="173">
        <f t="shared" ref="C127:P127" si="115">+C111+C119</f>
        <v>0</v>
      </c>
      <c r="D127" s="173">
        <f t="shared" si="115"/>
        <v>7.62939453125E-6</v>
      </c>
      <c r="E127" s="173">
        <f t="shared" si="115"/>
        <v>0</v>
      </c>
      <c r="F127" s="173">
        <f t="shared" si="115"/>
        <v>0</v>
      </c>
      <c r="G127" s="173">
        <f t="shared" si="115"/>
        <v>8.9406967163085938E-7</v>
      </c>
      <c r="H127" s="173">
        <f t="shared" si="115"/>
        <v>0</v>
      </c>
      <c r="I127" s="173"/>
      <c r="J127" s="173">
        <f t="shared" si="115"/>
        <v>0</v>
      </c>
      <c r="K127" s="173">
        <f t="shared" si="115"/>
        <v>0</v>
      </c>
      <c r="L127" s="173">
        <f t="shared" si="115"/>
        <v>6.67572021484375E-6</v>
      </c>
      <c r="M127" s="173">
        <f t="shared" si="115"/>
        <v>4.0531158447265625E-6</v>
      </c>
      <c r="N127" s="173">
        <f t="shared" si="115"/>
        <v>0</v>
      </c>
      <c r="O127" s="173">
        <f t="shared" si="115"/>
        <v>6.5565109252929688E-7</v>
      </c>
      <c r="P127" s="173">
        <f t="shared" si="115"/>
        <v>0</v>
      </c>
      <c r="Q127" s="173"/>
      <c r="R127" s="182">
        <f t="shared" si="93"/>
        <v>0</v>
      </c>
      <c r="S127" s="182">
        <f t="shared" si="94"/>
        <v>7.6293945312499997E-12</v>
      </c>
      <c r="T127" s="182">
        <f t="shared" si="95"/>
        <v>0</v>
      </c>
      <c r="U127" s="182">
        <f t="shared" si="96"/>
        <v>0</v>
      </c>
      <c r="V127" s="182">
        <f t="shared" si="97"/>
        <v>8.940696716308594E-13</v>
      </c>
      <c r="W127" s="182">
        <f t="shared" ref="W127" si="116">H127/1000000</f>
        <v>0</v>
      </c>
      <c r="X127" s="182">
        <f t="shared" si="98"/>
        <v>0</v>
      </c>
      <c r="Y127" s="182">
        <f t="shared" si="99"/>
        <v>6.6757202148437499E-12</v>
      </c>
      <c r="Z127" s="182">
        <f t="shared" si="100"/>
        <v>4.0531158447265625E-12</v>
      </c>
      <c r="AA127" s="182">
        <f t="shared" si="101"/>
        <v>0</v>
      </c>
      <c r="AB127" s="182">
        <f t="shared" si="102"/>
        <v>6.5565109252929686E-13</v>
      </c>
      <c r="AC127" s="182">
        <f t="shared" si="109"/>
        <v>0</v>
      </c>
      <c r="AD127" s="182" t="e">
        <f t="shared" ref="AD127:AI127" si="117">X127/R127%</f>
        <v>#DIV/0!</v>
      </c>
      <c r="AE127" s="182">
        <f t="shared" si="117"/>
        <v>87.5</v>
      </c>
      <c r="AF127" s="182" t="e">
        <f t="shared" si="117"/>
        <v>#DIV/0!</v>
      </c>
      <c r="AG127" s="182" t="e">
        <f t="shared" si="117"/>
        <v>#DIV/0!</v>
      </c>
      <c r="AH127" s="182">
        <f t="shared" si="117"/>
        <v>73.333333333333329</v>
      </c>
      <c r="AI127" s="183" t="e">
        <f t="shared" si="117"/>
        <v>#DIV/0!</v>
      </c>
      <c r="AJ127" s="36"/>
    </row>
    <row r="128" spans="1:36" s="44" customFormat="1" ht="13.8" thickTop="1" x14ac:dyDescent="0.3">
      <c r="A128" s="184"/>
      <c r="B128" s="173"/>
      <c r="C128" s="173"/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  <c r="AA128" s="173"/>
      <c r="AB128" s="173"/>
      <c r="AC128" s="173"/>
      <c r="AD128" s="185"/>
      <c r="AE128" s="185"/>
      <c r="AF128" s="185"/>
      <c r="AG128" s="185"/>
      <c r="AH128" s="185"/>
      <c r="AI128" s="186"/>
      <c r="AJ128" s="185"/>
    </row>
    <row r="129" spans="1:38" s="44" customFormat="1" x14ac:dyDescent="0.3">
      <c r="A129" s="184"/>
      <c r="B129" s="173"/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3"/>
      <c r="W129" s="173"/>
      <c r="X129" s="173"/>
      <c r="Y129" s="173"/>
      <c r="Z129" s="173"/>
      <c r="AA129" s="173"/>
      <c r="AB129" s="173"/>
      <c r="AC129" s="173"/>
      <c r="AD129" s="185"/>
      <c r="AE129" s="185"/>
      <c r="AF129" s="185"/>
      <c r="AG129" s="185"/>
      <c r="AH129" s="185"/>
      <c r="AI129" s="185"/>
      <c r="AJ129" s="185"/>
    </row>
    <row r="130" spans="1:38" s="44" customFormat="1" x14ac:dyDescent="0.3">
      <c r="A130" s="184"/>
      <c r="B130" s="173"/>
      <c r="C130" s="173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  <c r="AA130" s="173"/>
      <c r="AB130" s="173"/>
      <c r="AC130" s="173"/>
      <c r="AD130" s="185"/>
      <c r="AE130" s="185"/>
      <c r="AF130" s="185"/>
      <c r="AG130" s="185"/>
      <c r="AH130" s="185"/>
      <c r="AI130" s="185"/>
      <c r="AJ130" s="185"/>
    </row>
    <row r="131" spans="1:38" s="44" customFormat="1" x14ac:dyDescent="0.3">
      <c r="A131" s="184"/>
      <c r="B131" s="173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85"/>
      <c r="AE131" s="185"/>
      <c r="AF131" s="185"/>
      <c r="AG131" s="185"/>
      <c r="AH131" s="185"/>
      <c r="AI131" s="185"/>
      <c r="AJ131" s="185"/>
    </row>
    <row r="132" spans="1:38" s="188" customFormat="1" ht="15.6" customHeight="1" thickBot="1" x14ac:dyDescent="0.35">
      <c r="A132" s="391" t="s">
        <v>110</v>
      </c>
      <c r="B132" s="391"/>
      <c r="C132" s="391"/>
      <c r="D132" s="391"/>
      <c r="E132" s="391"/>
      <c r="F132" s="391"/>
      <c r="G132" s="391"/>
      <c r="H132" s="391"/>
      <c r="I132" s="391"/>
      <c r="J132" s="391"/>
      <c r="K132" s="391"/>
      <c r="L132" s="391"/>
      <c r="M132" s="391"/>
      <c r="N132" s="391"/>
      <c r="O132" s="391"/>
      <c r="P132" s="391"/>
      <c r="Q132" s="391"/>
      <c r="R132" s="391"/>
      <c r="S132" s="391"/>
      <c r="T132" s="391"/>
      <c r="U132" s="391"/>
      <c r="V132" s="391"/>
      <c r="W132" s="391"/>
      <c r="X132" s="391"/>
      <c r="Y132" s="391"/>
      <c r="Z132" s="391"/>
      <c r="AA132" s="391"/>
      <c r="AB132" s="391"/>
      <c r="AC132" s="391"/>
      <c r="AD132" s="391"/>
      <c r="AE132" s="391"/>
      <c r="AF132" s="391"/>
      <c r="AG132" s="391"/>
      <c r="AH132" s="391"/>
      <c r="AI132" s="391"/>
      <c r="AJ132" s="187"/>
    </row>
    <row r="133" spans="1:38" s="188" customFormat="1" ht="13.5" customHeight="1" thickTop="1" x14ac:dyDescent="0.3">
      <c r="A133" s="392" t="s">
        <v>0</v>
      </c>
      <c r="B133" s="376" t="s">
        <v>127</v>
      </c>
      <c r="C133" s="377"/>
      <c r="D133" s="377"/>
      <c r="E133" s="377"/>
      <c r="F133" s="377"/>
      <c r="G133" s="377"/>
      <c r="H133" s="377"/>
      <c r="I133" s="378"/>
      <c r="J133" s="376" t="s">
        <v>128</v>
      </c>
      <c r="K133" s="377"/>
      <c r="L133" s="377"/>
      <c r="M133" s="377"/>
      <c r="N133" s="377"/>
      <c r="O133" s="377"/>
      <c r="P133" s="377"/>
      <c r="Q133" s="378"/>
      <c r="R133" s="394" t="s">
        <v>129</v>
      </c>
      <c r="S133" s="394"/>
      <c r="T133" s="394"/>
      <c r="U133" s="394"/>
      <c r="V133" s="394"/>
      <c r="W133" s="394"/>
      <c r="X133" s="394" t="s">
        <v>130</v>
      </c>
      <c r="Y133" s="394"/>
      <c r="Z133" s="394"/>
      <c r="AA133" s="394"/>
      <c r="AB133" s="394"/>
      <c r="AC133" s="394"/>
      <c r="AD133" s="394" t="s">
        <v>111</v>
      </c>
      <c r="AE133" s="394"/>
      <c r="AF133" s="394"/>
      <c r="AG133" s="394"/>
      <c r="AH133" s="394"/>
      <c r="AI133" s="395"/>
      <c r="AJ133" s="9"/>
    </row>
    <row r="134" spans="1:38" s="188" customFormat="1" ht="12.75" customHeight="1" x14ac:dyDescent="0.3">
      <c r="A134" s="393"/>
      <c r="B134" s="387" t="s">
        <v>2</v>
      </c>
      <c r="C134" s="382" t="s">
        <v>3</v>
      </c>
      <c r="D134" s="383"/>
      <c r="E134" s="383"/>
      <c r="F134" s="383"/>
      <c r="G134" s="383"/>
      <c r="H134" s="383"/>
      <c r="I134" s="384"/>
      <c r="J134" s="387" t="s">
        <v>2</v>
      </c>
      <c r="K134" s="10"/>
      <c r="L134" s="382" t="s">
        <v>3</v>
      </c>
      <c r="M134" s="383"/>
      <c r="N134" s="383"/>
      <c r="O134" s="383"/>
      <c r="P134" s="383"/>
      <c r="Q134" s="384"/>
      <c r="R134" s="387" t="s">
        <v>2</v>
      </c>
      <c r="S134" s="396" t="s">
        <v>4</v>
      </c>
      <c r="T134" s="396"/>
      <c r="U134" s="396"/>
      <c r="V134" s="396"/>
      <c r="W134" s="396"/>
      <c r="X134" s="387" t="s">
        <v>2</v>
      </c>
      <c r="Y134" s="396" t="s">
        <v>4</v>
      </c>
      <c r="Z134" s="396"/>
      <c r="AA134" s="396"/>
      <c r="AB134" s="396"/>
      <c r="AC134" s="396"/>
      <c r="AD134" s="387" t="s">
        <v>2</v>
      </c>
      <c r="AE134" s="396" t="s">
        <v>4</v>
      </c>
      <c r="AF134" s="396"/>
      <c r="AG134" s="396"/>
      <c r="AH134" s="396"/>
      <c r="AI134" s="397"/>
      <c r="AJ134" s="9"/>
    </row>
    <row r="135" spans="1:38" s="188" customFormat="1" x14ac:dyDescent="0.3">
      <c r="A135" s="393"/>
      <c r="B135" s="387"/>
      <c r="C135" s="388" t="s">
        <v>5</v>
      </c>
      <c r="D135" s="387" t="s">
        <v>6</v>
      </c>
      <c r="E135" s="387" t="s">
        <v>7</v>
      </c>
      <c r="F135" s="379" t="s">
        <v>8</v>
      </c>
      <c r="G135" s="380"/>
      <c r="H135" s="380"/>
      <c r="I135" s="381"/>
      <c r="J135" s="387"/>
      <c r="K135" s="388" t="s">
        <v>5</v>
      </c>
      <c r="L135" s="387" t="s">
        <v>6</v>
      </c>
      <c r="M135" s="387" t="s">
        <v>7</v>
      </c>
      <c r="N135" s="379" t="s">
        <v>8</v>
      </c>
      <c r="O135" s="380"/>
      <c r="P135" s="380"/>
      <c r="Q135" s="381"/>
      <c r="R135" s="387"/>
      <c r="S135" s="387" t="s">
        <v>6</v>
      </c>
      <c r="T135" s="385" t="s">
        <v>7</v>
      </c>
      <c r="U135" s="386" t="s">
        <v>8</v>
      </c>
      <c r="V135" s="386"/>
      <c r="W135" s="386"/>
      <c r="X135" s="387"/>
      <c r="Y135" s="387" t="s">
        <v>6</v>
      </c>
      <c r="Z135" s="385" t="s">
        <v>7</v>
      </c>
      <c r="AA135" s="386" t="s">
        <v>8</v>
      </c>
      <c r="AB135" s="386"/>
      <c r="AC135" s="386"/>
      <c r="AD135" s="387"/>
      <c r="AE135" s="385" t="s">
        <v>6</v>
      </c>
      <c r="AF135" s="385" t="s">
        <v>7</v>
      </c>
      <c r="AG135" s="389" t="s">
        <v>8</v>
      </c>
      <c r="AH135" s="389"/>
      <c r="AI135" s="390"/>
      <c r="AJ135" s="11"/>
    </row>
    <row r="136" spans="1:38" s="188" customFormat="1" ht="48" customHeight="1" x14ac:dyDescent="0.3">
      <c r="A136" s="393"/>
      <c r="B136" s="387"/>
      <c r="C136" s="388"/>
      <c r="D136" s="387"/>
      <c r="E136" s="387"/>
      <c r="F136" s="12" t="s">
        <v>9</v>
      </c>
      <c r="G136" s="12" t="s">
        <v>10</v>
      </c>
      <c r="H136" s="12" t="s">
        <v>121</v>
      </c>
      <c r="I136" s="12" t="s">
        <v>122</v>
      </c>
      <c r="J136" s="387"/>
      <c r="K136" s="388"/>
      <c r="L136" s="387"/>
      <c r="M136" s="387"/>
      <c r="N136" s="12" t="s">
        <v>9</v>
      </c>
      <c r="O136" s="12" t="s">
        <v>10</v>
      </c>
      <c r="P136" s="12" t="s">
        <v>121</v>
      </c>
      <c r="Q136" s="12" t="s">
        <v>122</v>
      </c>
      <c r="R136" s="387"/>
      <c r="S136" s="387"/>
      <c r="T136" s="385"/>
      <c r="U136" s="12" t="s">
        <v>9</v>
      </c>
      <c r="V136" s="12" t="s">
        <v>10</v>
      </c>
      <c r="W136" s="12" t="s">
        <v>11</v>
      </c>
      <c r="X136" s="387"/>
      <c r="Y136" s="387"/>
      <c r="Z136" s="385"/>
      <c r="AA136" s="12" t="s">
        <v>9</v>
      </c>
      <c r="AB136" s="12" t="s">
        <v>10</v>
      </c>
      <c r="AC136" s="12" t="s">
        <v>11</v>
      </c>
      <c r="AD136" s="387"/>
      <c r="AE136" s="385"/>
      <c r="AF136" s="385"/>
      <c r="AG136" s="13" t="s">
        <v>9</v>
      </c>
      <c r="AH136" s="13" t="s">
        <v>10</v>
      </c>
      <c r="AI136" s="14" t="s">
        <v>12</v>
      </c>
      <c r="AJ136" s="15"/>
    </row>
    <row r="137" spans="1:38" s="44" customFormat="1" ht="26.4" x14ac:dyDescent="0.2">
      <c r="A137" s="37" t="s">
        <v>132</v>
      </c>
      <c r="B137" s="189">
        <f>D137+E137</f>
        <v>4484776894.9800005</v>
      </c>
      <c r="C137" s="190"/>
      <c r="D137" s="191">
        <f>2685551677.59</f>
        <v>2685551677.5900002</v>
      </c>
      <c r="E137" s="189">
        <f>F137+G137+H137</f>
        <v>1799225217.3900001</v>
      </c>
      <c r="F137" s="191">
        <v>474183634.55000001</v>
      </c>
      <c r="G137" s="191">
        <v>486124000.88999999</v>
      </c>
      <c r="H137" s="191">
        <v>838917581.95000005</v>
      </c>
      <c r="I137" s="191"/>
      <c r="J137" s="189">
        <f>L137+M137</f>
        <v>2535841712.3699999</v>
      </c>
      <c r="K137" s="190"/>
      <c r="L137" s="191">
        <v>1285338814.1500001</v>
      </c>
      <c r="M137" s="189">
        <f t="shared" ref="M137:M143" si="118">N137+O137+P137+Q137</f>
        <v>1250502898.22</v>
      </c>
      <c r="N137" s="191">
        <v>441667589.44</v>
      </c>
      <c r="O137" s="191">
        <v>633542854.11000001</v>
      </c>
      <c r="P137" s="191">
        <v>66399767.75</v>
      </c>
      <c r="Q137" s="191">
        <v>108892686.92</v>
      </c>
      <c r="R137" s="40">
        <f>B137/1000000</f>
        <v>4484.7768949800002</v>
      </c>
      <c r="S137" s="40">
        <f t="shared" ref="S137:V139" si="119">D137/1000000</f>
        <v>2685.5516775900001</v>
      </c>
      <c r="T137" s="40">
        <f t="shared" si="119"/>
        <v>1799.2252173900001</v>
      </c>
      <c r="U137" s="40">
        <f t="shared" si="119"/>
        <v>474.18363455000002</v>
      </c>
      <c r="V137" s="40">
        <f t="shared" si="119"/>
        <v>486.12400088999999</v>
      </c>
      <c r="W137" s="40">
        <f>(H137+I137)/1000000</f>
        <v>838.91758195</v>
      </c>
      <c r="X137" s="40">
        <f t="shared" ref="X137:X139" si="120">J137/1000000</f>
        <v>2535.8417123700001</v>
      </c>
      <c r="Y137" s="40">
        <f t="shared" ref="Y137:AB139" si="121">L137/1000000</f>
        <v>1285.3388141500002</v>
      </c>
      <c r="Z137" s="40">
        <f t="shared" si="121"/>
        <v>1250.5028982200001</v>
      </c>
      <c r="AA137" s="40">
        <f t="shared" si="121"/>
        <v>441.66758943999997</v>
      </c>
      <c r="AB137" s="40">
        <f t="shared" si="121"/>
        <v>633.54285411000001</v>
      </c>
      <c r="AC137" s="40">
        <f t="shared" ref="AC137:AC147" si="122">(P137+Q137)/1000000</f>
        <v>175.29245467000001</v>
      </c>
      <c r="AD137" s="40">
        <f>X137-R137</f>
        <v>-1948.9351826100001</v>
      </c>
      <c r="AE137" s="40">
        <f>Y137-S137</f>
        <v>-1400.2128634399999</v>
      </c>
      <c r="AF137" s="40">
        <f>Z137-T137</f>
        <v>-548.72231916999999</v>
      </c>
      <c r="AG137" s="40">
        <f t="shared" ref="AG137:AI140" si="123">AA137-U137</f>
        <v>-32.51604511000005</v>
      </c>
      <c r="AH137" s="40">
        <f t="shared" si="123"/>
        <v>147.41885322000002</v>
      </c>
      <c r="AI137" s="41">
        <f t="shared" si="123"/>
        <v>-663.62512728000002</v>
      </c>
      <c r="AJ137" s="42"/>
    </row>
    <row r="138" spans="1:38" x14ac:dyDescent="0.3">
      <c r="A138" s="108" t="s">
        <v>131</v>
      </c>
      <c r="B138" s="192">
        <f>D138+E138</f>
        <v>1716768851.8000002</v>
      </c>
      <c r="C138" s="193"/>
      <c r="D138" s="193">
        <v>286708960.94</v>
      </c>
      <c r="E138" s="192">
        <f t="shared" ref="E138:E147" si="124">F138+G138+H138</f>
        <v>1430059890.8600001</v>
      </c>
      <c r="F138" s="193">
        <v>546244372.11000001</v>
      </c>
      <c r="G138" s="193">
        <v>191723481.91999999</v>
      </c>
      <c r="H138" s="193">
        <v>692092036.83000004</v>
      </c>
      <c r="I138" s="193"/>
      <c r="J138" s="192">
        <f>L138+M138</f>
        <v>263106648.80000001</v>
      </c>
      <c r="K138" s="193"/>
      <c r="L138" s="193">
        <v>151870067.88</v>
      </c>
      <c r="M138" s="192">
        <f t="shared" si="118"/>
        <v>111236580.92000002</v>
      </c>
      <c r="N138" s="193">
        <v>20877026.510000002</v>
      </c>
      <c r="O138" s="193">
        <v>39663180.530000001</v>
      </c>
      <c r="P138" s="193">
        <v>34775049.880000003</v>
      </c>
      <c r="Q138" s="193">
        <v>15921324</v>
      </c>
      <c r="R138" s="34">
        <f>B138/1000000</f>
        <v>1716.7688518000002</v>
      </c>
      <c r="S138" s="34">
        <f t="shared" si="119"/>
        <v>286.70896094</v>
      </c>
      <c r="T138" s="34">
        <f t="shared" si="119"/>
        <v>1430.0598908600002</v>
      </c>
      <c r="U138" s="34">
        <f t="shared" si="119"/>
        <v>546.24437210999997</v>
      </c>
      <c r="V138" s="34">
        <f t="shared" si="119"/>
        <v>191.72348191999998</v>
      </c>
      <c r="W138" s="34">
        <f>(H138+I138)/1000000</f>
        <v>692.0920368300001</v>
      </c>
      <c r="X138" s="33">
        <f t="shared" si="120"/>
        <v>263.10664880000002</v>
      </c>
      <c r="Y138" s="33">
        <f t="shared" si="121"/>
        <v>151.87006787999999</v>
      </c>
      <c r="Z138" s="33">
        <f t="shared" si="121"/>
        <v>111.23658092000002</v>
      </c>
      <c r="AA138" s="33">
        <f t="shared" si="121"/>
        <v>20.87702651</v>
      </c>
      <c r="AB138" s="33">
        <f t="shared" si="121"/>
        <v>39.663180529999998</v>
      </c>
      <c r="AC138" s="33">
        <f t="shared" si="122"/>
        <v>50.696373880000003</v>
      </c>
      <c r="AD138" s="33">
        <f t="shared" ref="AD138:AI147" si="125">X138-R138</f>
        <v>-1453.6622030000003</v>
      </c>
      <c r="AE138" s="33">
        <f t="shared" si="125"/>
        <v>-134.83889306</v>
      </c>
      <c r="AF138" s="33">
        <f t="shared" si="125"/>
        <v>-1318.8233099400002</v>
      </c>
      <c r="AG138" s="33">
        <f t="shared" si="123"/>
        <v>-525.36734560000002</v>
      </c>
      <c r="AH138" s="33">
        <f t="shared" si="123"/>
        <v>-152.06030138999998</v>
      </c>
      <c r="AI138" s="35">
        <f t="shared" si="123"/>
        <v>-641.39566295000009</v>
      </c>
      <c r="AJ138" s="36"/>
    </row>
    <row r="139" spans="1:38" x14ac:dyDescent="0.25">
      <c r="A139" s="108" t="s">
        <v>112</v>
      </c>
      <c r="B139" s="192">
        <f>D139+E139</f>
        <v>300673839.02999997</v>
      </c>
      <c r="C139" s="193"/>
      <c r="D139" s="194">
        <f>D138</f>
        <v>286708960.94</v>
      </c>
      <c r="E139" s="192">
        <f t="shared" si="124"/>
        <v>13964878.09</v>
      </c>
      <c r="F139" s="193">
        <v>8745711.9000000004</v>
      </c>
      <c r="G139" s="193">
        <v>4185880.33</v>
      </c>
      <c r="H139" s="148">
        <v>1033285.86</v>
      </c>
      <c r="I139" s="148"/>
      <c r="J139" s="192">
        <f>L139+M139</f>
        <v>160973397.00999999</v>
      </c>
      <c r="K139" s="193"/>
      <c r="L139" s="194">
        <f>L138</f>
        <v>151870067.88</v>
      </c>
      <c r="M139" s="192">
        <f t="shared" si="118"/>
        <v>9103329.129999999</v>
      </c>
      <c r="N139" s="193">
        <v>25696.92</v>
      </c>
      <c r="O139" s="193">
        <v>2967957.38</v>
      </c>
      <c r="P139" s="148">
        <v>1195683.8600000001</v>
      </c>
      <c r="Q139" s="148">
        <v>4913990.97</v>
      </c>
      <c r="R139" s="34">
        <f>B139/1000000</f>
        <v>300.67383902999995</v>
      </c>
      <c r="S139" s="34">
        <f t="shared" si="119"/>
        <v>286.70896094</v>
      </c>
      <c r="T139" s="34">
        <f t="shared" si="119"/>
        <v>13.964878089999999</v>
      </c>
      <c r="U139" s="34">
        <f t="shared" si="119"/>
        <v>8.7457118999999999</v>
      </c>
      <c r="V139" s="34">
        <f t="shared" si="119"/>
        <v>4.1858803299999998</v>
      </c>
      <c r="W139" s="34">
        <f t="shared" ref="W139:W140" si="126">(H139+I139)/1000000</f>
        <v>1.0332858599999999</v>
      </c>
      <c r="X139" s="33">
        <f t="shared" si="120"/>
        <v>160.97339700999999</v>
      </c>
      <c r="Y139" s="33">
        <f t="shared" si="121"/>
        <v>151.87006787999999</v>
      </c>
      <c r="Z139" s="33">
        <f t="shared" si="121"/>
        <v>9.1033291299999988</v>
      </c>
      <c r="AA139" s="33">
        <f t="shared" si="121"/>
        <v>2.5696919999999998E-2</v>
      </c>
      <c r="AB139" s="33">
        <f t="shared" si="121"/>
        <v>2.9679573800000001</v>
      </c>
      <c r="AC139" s="33">
        <f t="shared" si="122"/>
        <v>6.1096748300000003</v>
      </c>
      <c r="AD139" s="33">
        <f t="shared" si="125"/>
        <v>-139.70044201999997</v>
      </c>
      <c r="AE139" s="33">
        <f t="shared" si="125"/>
        <v>-134.83889306</v>
      </c>
      <c r="AF139" s="33">
        <f t="shared" si="125"/>
        <v>-4.8615489600000004</v>
      </c>
      <c r="AG139" s="33">
        <f t="shared" si="123"/>
        <v>-8.7200149800000002</v>
      </c>
      <c r="AH139" s="33">
        <f t="shared" si="123"/>
        <v>-1.2179229499999997</v>
      </c>
      <c r="AI139" s="35">
        <f t="shared" si="123"/>
        <v>5.07638897</v>
      </c>
      <c r="AJ139" s="36"/>
    </row>
    <row r="140" spans="1:38" x14ac:dyDescent="0.3">
      <c r="A140" s="108" t="s">
        <v>113</v>
      </c>
      <c r="B140" s="192">
        <f>E140</f>
        <v>1416095012.77</v>
      </c>
      <c r="C140" s="193"/>
      <c r="D140" s="193">
        <v>0</v>
      </c>
      <c r="E140" s="192">
        <f t="shared" si="124"/>
        <v>1416095012.77</v>
      </c>
      <c r="F140" s="195">
        <f>F138-F139</f>
        <v>537498660.21000004</v>
      </c>
      <c r="G140" s="195">
        <f>G138-G139</f>
        <v>187537601.58999997</v>
      </c>
      <c r="H140" s="195">
        <f>H138-H139</f>
        <v>691058750.97000003</v>
      </c>
      <c r="I140" s="195"/>
      <c r="J140" s="192">
        <f>M140</f>
        <v>91125918.75999999</v>
      </c>
      <c r="K140" s="193"/>
      <c r="L140" s="193">
        <v>0</v>
      </c>
      <c r="M140" s="192">
        <f t="shared" si="118"/>
        <v>91125918.75999999</v>
      </c>
      <c r="N140" s="195">
        <f>N138-N139</f>
        <v>20851329.59</v>
      </c>
      <c r="O140" s="195">
        <f>O138-O139</f>
        <v>36695223.149999999</v>
      </c>
      <c r="P140" s="195">
        <f>P138-P139</f>
        <v>33579366.020000003</v>
      </c>
      <c r="Q140" s="195"/>
      <c r="R140" s="34">
        <f>B140/1000000</f>
        <v>1416.09501277</v>
      </c>
      <c r="S140" s="34"/>
      <c r="T140" s="34">
        <f t="shared" ref="T140:V147" si="127">E140/1000000</f>
        <v>1416.09501277</v>
      </c>
      <c r="U140" s="34">
        <f t="shared" si="127"/>
        <v>537.49866021000003</v>
      </c>
      <c r="V140" s="34">
        <f t="shared" si="127"/>
        <v>187.53760158999998</v>
      </c>
      <c r="W140" s="34">
        <f t="shared" si="126"/>
        <v>691.05875097000001</v>
      </c>
      <c r="X140" s="33">
        <f>J140/1000000</f>
        <v>91.12591875999999</v>
      </c>
      <c r="Y140" s="33"/>
      <c r="Z140" s="33">
        <f t="shared" ref="Z140:AB147" si="128">M140/1000000</f>
        <v>91.12591875999999</v>
      </c>
      <c r="AA140" s="33">
        <f t="shared" si="128"/>
        <v>20.851329589999999</v>
      </c>
      <c r="AB140" s="33">
        <f t="shared" si="128"/>
        <v>36.695223149999997</v>
      </c>
      <c r="AC140" s="33">
        <f t="shared" si="122"/>
        <v>33.579366020000002</v>
      </c>
      <c r="AD140" s="33">
        <f t="shared" si="125"/>
        <v>-1324.9690940099999</v>
      </c>
      <c r="AE140" s="59" t="s">
        <v>30</v>
      </c>
      <c r="AF140" s="33">
        <f t="shared" si="125"/>
        <v>-1324.9690940099999</v>
      </c>
      <c r="AG140" s="33">
        <f t="shared" si="123"/>
        <v>-516.64733062000005</v>
      </c>
      <c r="AH140" s="33">
        <f t="shared" si="123"/>
        <v>-150.84237843999998</v>
      </c>
      <c r="AI140" s="35">
        <f t="shared" si="123"/>
        <v>-657.47938495000005</v>
      </c>
      <c r="AJ140" s="36"/>
    </row>
    <row r="141" spans="1:38" s="44" customFormat="1" ht="26.4" x14ac:dyDescent="0.3">
      <c r="A141" s="37" t="s">
        <v>114</v>
      </c>
      <c r="B141" s="190">
        <f>D141+E141</f>
        <v>206515389.31</v>
      </c>
      <c r="C141" s="190"/>
      <c r="D141" s="190"/>
      <c r="E141" s="190">
        <f t="shared" si="124"/>
        <v>206515389.31</v>
      </c>
      <c r="F141" s="190">
        <v>46892440.869999997</v>
      </c>
      <c r="G141" s="190">
        <v>69604117.390000015</v>
      </c>
      <c r="H141" s="190">
        <v>90018831.049999982</v>
      </c>
      <c r="I141" s="190"/>
      <c r="J141" s="190">
        <f>L141+M141</f>
        <v>250150775.53</v>
      </c>
      <c r="K141" s="190"/>
      <c r="L141" s="190">
        <v>913843.55</v>
      </c>
      <c r="M141" s="190">
        <f t="shared" si="118"/>
        <v>249236931.97999999</v>
      </c>
      <c r="N141" s="190">
        <v>51692357.969999999</v>
      </c>
      <c r="O141" s="190">
        <v>71777179.49000001</v>
      </c>
      <c r="P141" s="190">
        <v>125767394.51999998</v>
      </c>
      <c r="Q141" s="190"/>
      <c r="R141" s="306">
        <f t="shared" ref="R141:R147" si="129">B141/1000000</f>
        <v>206.51538930999999</v>
      </c>
      <c r="S141" s="306">
        <f t="shared" ref="S141:S147" si="130">D141/1000000</f>
        <v>0</v>
      </c>
      <c r="T141" s="306">
        <f t="shared" si="127"/>
        <v>206.51538930999999</v>
      </c>
      <c r="U141" s="306">
        <f t="shared" si="127"/>
        <v>46.892440869999994</v>
      </c>
      <c r="V141" s="306">
        <f t="shared" si="127"/>
        <v>69.604117390000013</v>
      </c>
      <c r="W141" s="306">
        <f>(H141+I141)/1000000</f>
        <v>90.018831049999989</v>
      </c>
      <c r="X141" s="306">
        <f t="shared" ref="X141:X147" si="131">J141/1000000</f>
        <v>250.15077553</v>
      </c>
      <c r="Y141" s="306">
        <f t="shared" ref="Y141:Y147" si="132">L141/1000000</f>
        <v>0.91384355000000006</v>
      </c>
      <c r="Z141" s="306">
        <f t="shared" si="128"/>
        <v>249.23693197999998</v>
      </c>
      <c r="AA141" s="306">
        <f t="shared" si="128"/>
        <v>51.692357969999996</v>
      </c>
      <c r="AB141" s="306">
        <f t="shared" si="128"/>
        <v>71.777179490000009</v>
      </c>
      <c r="AC141" s="306">
        <f t="shared" si="122"/>
        <v>125.76739451999998</v>
      </c>
      <c r="AD141" s="306">
        <f t="shared" si="125"/>
        <v>43.635386220000015</v>
      </c>
      <c r="AE141" s="306">
        <f t="shared" si="125"/>
        <v>0.91384355000000006</v>
      </c>
      <c r="AF141" s="306">
        <f t="shared" si="125"/>
        <v>42.721542669999991</v>
      </c>
      <c r="AG141" s="306">
        <f t="shared" si="125"/>
        <v>4.7999171000000018</v>
      </c>
      <c r="AH141" s="306">
        <f t="shared" si="125"/>
        <v>2.1730620999999957</v>
      </c>
      <c r="AI141" s="307">
        <f t="shared" si="125"/>
        <v>35.748563469999993</v>
      </c>
      <c r="AJ141" s="42"/>
    </row>
    <row r="142" spans="1:38" s="44" customFormat="1" x14ac:dyDescent="0.3">
      <c r="A142" s="37" t="s">
        <v>115</v>
      </c>
      <c r="B142" s="189">
        <f>D142+E142-C142</f>
        <v>40415277313.720001</v>
      </c>
      <c r="C142" s="196">
        <v>711060246.11000001</v>
      </c>
      <c r="D142" s="197">
        <f>D143+D146+D147</f>
        <v>37480175300</v>
      </c>
      <c r="E142" s="189">
        <f t="shared" si="124"/>
        <v>3646162259.8299999</v>
      </c>
      <c r="F142" s="197">
        <f>F143+F146+F147</f>
        <v>3307714090</v>
      </c>
      <c r="G142" s="197">
        <f>G143+G146+G147</f>
        <v>312998169.82999998</v>
      </c>
      <c r="H142" s="197">
        <f>H143+H146+H147</f>
        <v>25450000</v>
      </c>
      <c r="I142" s="197"/>
      <c r="J142" s="189">
        <f>L142+M142-K142</f>
        <v>38652313958.970001</v>
      </c>
      <c r="K142" s="196">
        <v>711060246.11000001</v>
      </c>
      <c r="L142" s="197">
        <f>L143+L146+L147</f>
        <v>35743897215.080002</v>
      </c>
      <c r="M142" s="189">
        <f>N142+O142+P142+Q142</f>
        <v>3619476990</v>
      </c>
      <c r="N142" s="197">
        <f>N143+N146+N147</f>
        <v>3307322090</v>
      </c>
      <c r="O142" s="197">
        <f>O143+O146+O147</f>
        <v>293904900</v>
      </c>
      <c r="P142" s="197">
        <f>P143+P146+P147</f>
        <v>18250000</v>
      </c>
      <c r="Q142" s="197">
        <f>Q143+Q146+Q147</f>
        <v>0</v>
      </c>
      <c r="R142" s="40">
        <f t="shared" si="129"/>
        <v>40415.277313719998</v>
      </c>
      <c r="S142" s="40">
        <f t="shared" si="130"/>
        <v>37480.175300000003</v>
      </c>
      <c r="T142" s="40">
        <f t="shared" si="127"/>
        <v>3646.16225983</v>
      </c>
      <c r="U142" s="40">
        <f t="shared" si="127"/>
        <v>3307.7140899999999</v>
      </c>
      <c r="V142" s="40">
        <f t="shared" si="127"/>
        <v>312.99816982999999</v>
      </c>
      <c r="W142" s="40">
        <f>(H142+I142)/1000000</f>
        <v>25.45</v>
      </c>
      <c r="X142" s="40">
        <f>J142/1000000</f>
        <v>38652.31395897</v>
      </c>
      <c r="Y142" s="40">
        <f t="shared" si="132"/>
        <v>35743.897215080004</v>
      </c>
      <c r="Z142" s="40">
        <f t="shared" si="128"/>
        <v>3619.4769900000001</v>
      </c>
      <c r="AA142" s="40">
        <f t="shared" si="128"/>
        <v>3307.3220900000001</v>
      </c>
      <c r="AB142" s="40">
        <f t="shared" si="128"/>
        <v>293.9049</v>
      </c>
      <c r="AC142" s="40">
        <f t="shared" si="122"/>
        <v>18.25</v>
      </c>
      <c r="AD142" s="40">
        <f t="shared" si="125"/>
        <v>-1762.963354749998</v>
      </c>
      <c r="AE142" s="40">
        <f t="shared" si="125"/>
        <v>-1736.2780849199989</v>
      </c>
      <c r="AF142" s="40">
        <f t="shared" si="125"/>
        <v>-26.685269829999925</v>
      </c>
      <c r="AG142" s="40">
        <f t="shared" si="125"/>
        <v>-0.39199999999982538</v>
      </c>
      <c r="AH142" s="40">
        <f t="shared" si="125"/>
        <v>-19.093269829999997</v>
      </c>
      <c r="AI142" s="41">
        <f t="shared" si="125"/>
        <v>-7.1999999999999993</v>
      </c>
      <c r="AJ142" s="42"/>
      <c r="AK142" s="3">
        <f t="shared" ref="AK142:AK147" si="133">AF142*1000</f>
        <v>-26685.269829999925</v>
      </c>
      <c r="AL142" s="70"/>
    </row>
    <row r="143" spans="1:38" x14ac:dyDescent="0.3">
      <c r="A143" s="45" t="s">
        <v>116</v>
      </c>
      <c r="B143" s="189">
        <f>D143+E143-C143</f>
        <v>15132177218.889999</v>
      </c>
      <c r="C143" s="193">
        <v>711060246.11000001</v>
      </c>
      <c r="D143" s="198">
        <f>D144+D145</f>
        <v>15131770800</v>
      </c>
      <c r="E143" s="192">
        <f t="shared" si="124"/>
        <v>711466665</v>
      </c>
      <c r="F143" s="198">
        <f>F144+F145</f>
        <v>711466665</v>
      </c>
      <c r="G143" s="198">
        <f>G144+G145</f>
        <v>0</v>
      </c>
      <c r="H143" s="198">
        <f>H144+H145</f>
        <v>0</v>
      </c>
      <c r="I143" s="198"/>
      <c r="J143" s="192">
        <f>L143+M143-K143</f>
        <v>25644208233.969997</v>
      </c>
      <c r="K143" s="196">
        <v>711060246.11000001</v>
      </c>
      <c r="L143" s="198">
        <f>L144+L145</f>
        <v>25289993815.079998</v>
      </c>
      <c r="M143" s="192">
        <f t="shared" si="118"/>
        <v>1065274665</v>
      </c>
      <c r="N143" s="198">
        <f>N144+N145</f>
        <v>1065274665</v>
      </c>
      <c r="O143" s="198">
        <f>O144+O145</f>
        <v>0</v>
      </c>
      <c r="P143" s="198">
        <f>P144+P145</f>
        <v>0</v>
      </c>
      <c r="Q143" s="198">
        <f>Q144+Q145</f>
        <v>0</v>
      </c>
      <c r="R143" s="33">
        <f t="shared" si="129"/>
        <v>15132.177218889999</v>
      </c>
      <c r="S143" s="33">
        <f t="shared" si="130"/>
        <v>15131.7708</v>
      </c>
      <c r="T143" s="33">
        <f t="shared" si="127"/>
        <v>711.46666500000003</v>
      </c>
      <c r="U143" s="33">
        <f t="shared" si="127"/>
        <v>711.46666500000003</v>
      </c>
      <c r="V143" s="33">
        <f t="shared" si="127"/>
        <v>0</v>
      </c>
      <c r="W143" s="33">
        <f t="shared" ref="W143:W147" si="134">(H143+I143)/1000000</f>
        <v>0</v>
      </c>
      <c r="X143" s="33">
        <f>J143/1000000</f>
        <v>25644.208233969999</v>
      </c>
      <c r="Y143" s="33">
        <f t="shared" si="132"/>
        <v>25289.993815079997</v>
      </c>
      <c r="Z143" s="33">
        <f t="shared" si="128"/>
        <v>1065.2746649999999</v>
      </c>
      <c r="AA143" s="33">
        <f t="shared" si="128"/>
        <v>1065.2746649999999</v>
      </c>
      <c r="AB143" s="33">
        <f t="shared" si="128"/>
        <v>0</v>
      </c>
      <c r="AC143" s="33">
        <f t="shared" si="122"/>
        <v>0</v>
      </c>
      <c r="AD143" s="33">
        <f t="shared" si="125"/>
        <v>10512.03101508</v>
      </c>
      <c r="AE143" s="33">
        <f t="shared" si="125"/>
        <v>10158.223015079997</v>
      </c>
      <c r="AF143" s="33">
        <f t="shared" si="125"/>
        <v>353.80799999999988</v>
      </c>
      <c r="AG143" s="33">
        <f t="shared" si="125"/>
        <v>353.80799999999988</v>
      </c>
      <c r="AH143" s="33">
        <f t="shared" si="125"/>
        <v>0</v>
      </c>
      <c r="AI143" s="35">
        <f t="shared" si="125"/>
        <v>0</v>
      </c>
      <c r="AJ143" s="36"/>
      <c r="AK143" s="3">
        <f t="shared" si="133"/>
        <v>353807.99999999988</v>
      </c>
    </row>
    <row r="144" spans="1:38" hidden="1" x14ac:dyDescent="0.3">
      <c r="A144" s="30" t="s">
        <v>117</v>
      </c>
      <c r="B144" s="192">
        <f>D144</f>
        <v>15131770800</v>
      </c>
      <c r="C144" s="193"/>
      <c r="D144" s="199">
        <f>15131770.8*1000</f>
        <v>15131770800</v>
      </c>
      <c r="E144" s="192">
        <f t="shared" si="124"/>
        <v>711466665</v>
      </c>
      <c r="F144" s="199">
        <v>711466665</v>
      </c>
      <c r="G144" s="199"/>
      <c r="H144" s="199"/>
      <c r="I144" s="199"/>
      <c r="J144" s="192">
        <f>L144</f>
        <v>25289993815.079998</v>
      </c>
      <c r="K144" s="193"/>
      <c r="L144" s="199">
        <f>25289993.81508*1000</f>
        <v>25289993815.079998</v>
      </c>
      <c r="M144" s="192">
        <f t="shared" ref="M144:M147" si="135">N144+O144+P144+Q144</f>
        <v>1065274665</v>
      </c>
      <c r="N144" s="199">
        <v>1065274665</v>
      </c>
      <c r="O144" s="199"/>
      <c r="P144" s="199"/>
      <c r="Q144" s="199"/>
      <c r="R144" s="33">
        <f t="shared" si="129"/>
        <v>15131.7708</v>
      </c>
      <c r="S144" s="33">
        <f t="shared" si="130"/>
        <v>15131.7708</v>
      </c>
      <c r="T144" s="33">
        <f t="shared" si="127"/>
        <v>711.46666500000003</v>
      </c>
      <c r="U144" s="33">
        <f t="shared" si="127"/>
        <v>711.46666500000003</v>
      </c>
      <c r="V144" s="33">
        <f t="shared" si="127"/>
        <v>0</v>
      </c>
      <c r="W144" s="33">
        <f t="shared" si="134"/>
        <v>0</v>
      </c>
      <c r="X144" s="33">
        <f t="shared" si="131"/>
        <v>25289.993815079997</v>
      </c>
      <c r="Y144" s="33">
        <f t="shared" si="132"/>
        <v>25289.993815079997</v>
      </c>
      <c r="Z144" s="33">
        <f t="shared" si="128"/>
        <v>1065.2746649999999</v>
      </c>
      <c r="AA144" s="33">
        <f t="shared" si="128"/>
        <v>1065.2746649999999</v>
      </c>
      <c r="AB144" s="33">
        <f t="shared" si="128"/>
        <v>0</v>
      </c>
      <c r="AC144" s="33">
        <f t="shared" si="122"/>
        <v>0</v>
      </c>
      <c r="AD144" s="33">
        <f t="shared" si="125"/>
        <v>10158.223015079997</v>
      </c>
      <c r="AE144" s="33">
        <f t="shared" si="125"/>
        <v>10158.223015079997</v>
      </c>
      <c r="AF144" s="33">
        <f t="shared" si="125"/>
        <v>353.80799999999988</v>
      </c>
      <c r="AG144" s="33">
        <f t="shared" si="125"/>
        <v>353.80799999999988</v>
      </c>
      <c r="AH144" s="33">
        <f t="shared" si="125"/>
        <v>0</v>
      </c>
      <c r="AI144" s="35">
        <f t="shared" si="125"/>
        <v>0</v>
      </c>
      <c r="AJ144" s="36"/>
      <c r="AK144" s="3">
        <f t="shared" si="133"/>
        <v>353807.99999999988</v>
      </c>
    </row>
    <row r="145" spans="1:37" hidden="1" x14ac:dyDescent="0.3">
      <c r="A145" s="30" t="s">
        <v>118</v>
      </c>
      <c r="B145" s="192">
        <f>D145</f>
        <v>0</v>
      </c>
      <c r="C145" s="193"/>
      <c r="D145" s="199"/>
      <c r="E145" s="192">
        <f t="shared" si="124"/>
        <v>0</v>
      </c>
      <c r="F145" s="199"/>
      <c r="G145" s="199"/>
      <c r="H145" s="199"/>
      <c r="I145" s="199"/>
      <c r="J145" s="192">
        <f>L145</f>
        <v>0</v>
      </c>
      <c r="K145" s="193"/>
      <c r="L145" s="199"/>
      <c r="M145" s="192">
        <f t="shared" si="135"/>
        <v>0</v>
      </c>
      <c r="N145" s="199"/>
      <c r="O145" s="199"/>
      <c r="P145" s="199"/>
      <c r="Q145" s="199"/>
      <c r="R145" s="33">
        <f t="shared" si="129"/>
        <v>0</v>
      </c>
      <c r="S145" s="33">
        <f t="shared" si="130"/>
        <v>0</v>
      </c>
      <c r="T145" s="33">
        <f t="shared" si="127"/>
        <v>0</v>
      </c>
      <c r="U145" s="33">
        <f t="shared" si="127"/>
        <v>0</v>
      </c>
      <c r="V145" s="33">
        <f t="shared" si="127"/>
        <v>0</v>
      </c>
      <c r="W145" s="33">
        <f t="shared" si="134"/>
        <v>0</v>
      </c>
      <c r="X145" s="33">
        <f t="shared" si="131"/>
        <v>0</v>
      </c>
      <c r="Y145" s="33">
        <f t="shared" si="132"/>
        <v>0</v>
      </c>
      <c r="Z145" s="33">
        <f t="shared" si="128"/>
        <v>0</v>
      </c>
      <c r="AA145" s="33">
        <f t="shared" si="128"/>
        <v>0</v>
      </c>
      <c r="AB145" s="33">
        <f t="shared" si="128"/>
        <v>0</v>
      </c>
      <c r="AC145" s="33">
        <f t="shared" si="122"/>
        <v>0</v>
      </c>
      <c r="AD145" s="33">
        <f t="shared" si="125"/>
        <v>0</v>
      </c>
      <c r="AE145" s="33">
        <f t="shared" si="125"/>
        <v>0</v>
      </c>
      <c r="AF145" s="33">
        <f t="shared" si="125"/>
        <v>0</v>
      </c>
      <c r="AG145" s="33">
        <f t="shared" si="125"/>
        <v>0</v>
      </c>
      <c r="AH145" s="33">
        <f t="shared" si="125"/>
        <v>0</v>
      </c>
      <c r="AI145" s="35">
        <f t="shared" si="125"/>
        <v>0</v>
      </c>
      <c r="AJ145" s="36"/>
      <c r="AK145" s="3">
        <f t="shared" si="133"/>
        <v>0</v>
      </c>
    </row>
    <row r="146" spans="1:37" x14ac:dyDescent="0.3">
      <c r="A146" s="45" t="s">
        <v>119</v>
      </c>
      <c r="B146" s="192">
        <f>D146+E146</f>
        <v>24534846025</v>
      </c>
      <c r="C146" s="193"/>
      <c r="D146" s="199">
        <f>21608404.5*1000</f>
        <v>21608404500</v>
      </c>
      <c r="E146" s="192">
        <f t="shared" si="124"/>
        <v>2926441525</v>
      </c>
      <c r="F146" s="193">
        <v>2596247425</v>
      </c>
      <c r="G146" s="193">
        <v>304744100</v>
      </c>
      <c r="H146" s="193">
        <v>25450000</v>
      </c>
      <c r="I146" s="193"/>
      <c r="J146" s="192">
        <f>L146+M146</f>
        <v>12568105725</v>
      </c>
      <c r="K146" s="193"/>
      <c r="L146" s="199">
        <f>10013.9034*1000000</f>
        <v>10013903400</v>
      </c>
      <c r="M146" s="192">
        <f t="shared" si="135"/>
        <v>2554202325</v>
      </c>
      <c r="N146" s="193">
        <v>2242047425</v>
      </c>
      <c r="O146" s="193">
        <v>293904900</v>
      </c>
      <c r="P146" s="193">
        <v>18250000</v>
      </c>
      <c r="Q146" s="193"/>
      <c r="R146" s="33">
        <f t="shared" si="129"/>
        <v>24534.846024999999</v>
      </c>
      <c r="S146" s="33">
        <f t="shared" si="130"/>
        <v>21608.404500000001</v>
      </c>
      <c r="T146" s="33">
        <f t="shared" si="127"/>
        <v>2926.4415250000002</v>
      </c>
      <c r="U146" s="33">
        <f t="shared" si="127"/>
        <v>2596.247425</v>
      </c>
      <c r="V146" s="33">
        <f t="shared" si="127"/>
        <v>304.7441</v>
      </c>
      <c r="W146" s="33">
        <f t="shared" si="134"/>
        <v>25.45</v>
      </c>
      <c r="X146" s="33">
        <f t="shared" si="131"/>
        <v>12568.105724999999</v>
      </c>
      <c r="Y146" s="33">
        <f t="shared" si="132"/>
        <v>10013.903399999999</v>
      </c>
      <c r="Z146" s="33">
        <f t="shared" si="128"/>
        <v>2554.2023250000002</v>
      </c>
      <c r="AA146" s="33">
        <f t="shared" si="128"/>
        <v>2242.0474250000002</v>
      </c>
      <c r="AB146" s="33">
        <f t="shared" si="128"/>
        <v>293.9049</v>
      </c>
      <c r="AC146" s="33">
        <f t="shared" si="122"/>
        <v>18.25</v>
      </c>
      <c r="AD146" s="33">
        <f t="shared" si="125"/>
        <v>-11966.740299999999</v>
      </c>
      <c r="AE146" s="200">
        <f t="shared" si="125"/>
        <v>-11594.501100000001</v>
      </c>
      <c r="AF146" s="33">
        <f t="shared" si="125"/>
        <v>-372.23919999999998</v>
      </c>
      <c r="AG146" s="33">
        <f t="shared" si="125"/>
        <v>-354.19999999999982</v>
      </c>
      <c r="AH146" s="33">
        <f t="shared" si="125"/>
        <v>-10.839200000000005</v>
      </c>
      <c r="AI146" s="35">
        <f t="shared" si="125"/>
        <v>-7.1999999999999993</v>
      </c>
      <c r="AJ146" s="36"/>
      <c r="AK146" s="3">
        <f t="shared" si="133"/>
        <v>-372239.19999999995</v>
      </c>
    </row>
    <row r="147" spans="1:37" ht="13.8" thickBot="1" x14ac:dyDescent="0.35">
      <c r="A147" s="176" t="s">
        <v>120</v>
      </c>
      <c r="B147" s="201">
        <f>D147+E147</f>
        <v>748254069.83000004</v>
      </c>
      <c r="C147" s="202"/>
      <c r="D147" s="203">
        <f>740000*1000</f>
        <v>740000000</v>
      </c>
      <c r="E147" s="201">
        <f t="shared" si="124"/>
        <v>8254069.8299999991</v>
      </c>
      <c r="F147" s="202"/>
      <c r="G147" s="202">
        <v>8254069.8299999991</v>
      </c>
      <c r="H147" s="202"/>
      <c r="I147" s="202"/>
      <c r="J147" s="201">
        <f>L147+M147</f>
        <v>440000000</v>
      </c>
      <c r="K147" s="202"/>
      <c r="L147" s="203">
        <v>440000000</v>
      </c>
      <c r="M147" s="201">
        <f t="shared" si="135"/>
        <v>0</v>
      </c>
      <c r="N147" s="202"/>
      <c r="O147" s="202"/>
      <c r="P147" s="202"/>
      <c r="Q147" s="202"/>
      <c r="R147" s="179">
        <f t="shared" si="129"/>
        <v>748.25406983000005</v>
      </c>
      <c r="S147" s="179">
        <f t="shared" si="130"/>
        <v>740</v>
      </c>
      <c r="T147" s="179">
        <f t="shared" si="127"/>
        <v>8.2540698299999988</v>
      </c>
      <c r="U147" s="179">
        <f t="shared" si="127"/>
        <v>0</v>
      </c>
      <c r="V147" s="179">
        <f t="shared" si="127"/>
        <v>8.2540698299999988</v>
      </c>
      <c r="W147" s="179">
        <f t="shared" si="134"/>
        <v>0</v>
      </c>
      <c r="X147" s="179">
        <f t="shared" si="131"/>
        <v>440</v>
      </c>
      <c r="Y147" s="179">
        <f t="shared" si="132"/>
        <v>440</v>
      </c>
      <c r="Z147" s="179">
        <f t="shared" si="128"/>
        <v>0</v>
      </c>
      <c r="AA147" s="179">
        <f t="shared" si="128"/>
        <v>0</v>
      </c>
      <c r="AB147" s="179">
        <f t="shared" si="128"/>
        <v>0</v>
      </c>
      <c r="AC147" s="179">
        <f t="shared" si="122"/>
        <v>0</v>
      </c>
      <c r="AD147" s="179">
        <f t="shared" si="125"/>
        <v>-308.25406983000005</v>
      </c>
      <c r="AE147" s="179">
        <f t="shared" si="125"/>
        <v>-300</v>
      </c>
      <c r="AF147" s="179">
        <f t="shared" si="125"/>
        <v>-8.2540698299999988</v>
      </c>
      <c r="AG147" s="179">
        <f t="shared" si="125"/>
        <v>0</v>
      </c>
      <c r="AH147" s="179">
        <f t="shared" si="125"/>
        <v>-8.2540698299999988</v>
      </c>
      <c r="AI147" s="180">
        <f t="shared" si="125"/>
        <v>0</v>
      </c>
      <c r="AJ147" s="36"/>
      <c r="AK147" s="3">
        <f t="shared" si="133"/>
        <v>-8254.0698299999985</v>
      </c>
    </row>
    <row r="148" spans="1:37" ht="13.8" thickTop="1" x14ac:dyDescent="0.3"/>
  </sheetData>
  <mergeCells count="135">
    <mergeCell ref="B114:I114"/>
    <mergeCell ref="J114:Q114"/>
    <mergeCell ref="C115:I115"/>
    <mergeCell ref="K115:Q115"/>
    <mergeCell ref="F116:I116"/>
    <mergeCell ref="N116:Q116"/>
    <mergeCell ref="B133:I133"/>
    <mergeCell ref="C134:I134"/>
    <mergeCell ref="F135:I135"/>
    <mergeCell ref="J133:Q133"/>
    <mergeCell ref="L134:Q134"/>
    <mergeCell ref="N135:Q135"/>
    <mergeCell ref="L116:L117"/>
    <mergeCell ref="M116:M117"/>
    <mergeCell ref="A2:AI2"/>
    <mergeCell ref="A4:A7"/>
    <mergeCell ref="R4:W4"/>
    <mergeCell ref="X4:AC4"/>
    <mergeCell ref="AD4:AI4"/>
    <mergeCell ref="B5:B7"/>
    <mergeCell ref="J5:J7"/>
    <mergeCell ref="F45:I45"/>
    <mergeCell ref="N45:Q45"/>
    <mergeCell ref="B43:I43"/>
    <mergeCell ref="C44:I44"/>
    <mergeCell ref="J43:Q43"/>
    <mergeCell ref="K44:Q44"/>
    <mergeCell ref="AE5:AI5"/>
    <mergeCell ref="C6:C7"/>
    <mergeCell ref="D6:D7"/>
    <mergeCell ref="E6:E7"/>
    <mergeCell ref="K6:K7"/>
    <mergeCell ref="L6:L7"/>
    <mergeCell ref="M6:M7"/>
    <mergeCell ref="S6:S7"/>
    <mergeCell ref="R5:R7"/>
    <mergeCell ref="S5:W5"/>
    <mergeCell ref="X5:X7"/>
    <mergeCell ref="Y5:AC5"/>
    <mergeCell ref="AD5:AD7"/>
    <mergeCell ref="T6:T7"/>
    <mergeCell ref="U6:W6"/>
    <mergeCell ref="Y6:Y7"/>
    <mergeCell ref="Z6:Z7"/>
    <mergeCell ref="AA6:AC6"/>
    <mergeCell ref="AE6:AE7"/>
    <mergeCell ref="AF6:AF7"/>
    <mergeCell ref="AG6:AI6"/>
    <mergeCell ref="A43:A46"/>
    <mergeCell ref="R43:W43"/>
    <mergeCell ref="X43:AC43"/>
    <mergeCell ref="AD43:AI43"/>
    <mergeCell ref="K45:K46"/>
    <mergeCell ref="L45:L46"/>
    <mergeCell ref="B44:B46"/>
    <mergeCell ref="J44:J46"/>
    <mergeCell ref="R44:R46"/>
    <mergeCell ref="S44:W44"/>
    <mergeCell ref="M45:M46"/>
    <mergeCell ref="S45:S46"/>
    <mergeCell ref="T45:T46"/>
    <mergeCell ref="AG45:AI45"/>
    <mergeCell ref="A114:A117"/>
    <mergeCell ref="R114:W114"/>
    <mergeCell ref="X114:AC114"/>
    <mergeCell ref="AD114:AI114"/>
    <mergeCell ref="B115:B117"/>
    <mergeCell ref="J115:J117"/>
    <mergeCell ref="U45:W45"/>
    <mergeCell ref="Y45:Y46"/>
    <mergeCell ref="Z45:Z46"/>
    <mergeCell ref="AA45:AC45"/>
    <mergeCell ref="AE45:AE46"/>
    <mergeCell ref="AF45:AF46"/>
    <mergeCell ref="X44:X46"/>
    <mergeCell ref="Y44:AC44"/>
    <mergeCell ref="AD44:AD46"/>
    <mergeCell ref="AE44:AI44"/>
    <mergeCell ref="C45:C46"/>
    <mergeCell ref="D45:D46"/>
    <mergeCell ref="E45:E46"/>
    <mergeCell ref="AE115:AI115"/>
    <mergeCell ref="C116:C117"/>
    <mergeCell ref="D116:D117"/>
    <mergeCell ref="E116:E117"/>
    <mergeCell ref="K116:K117"/>
    <mergeCell ref="S116:S117"/>
    <mergeCell ref="R115:R117"/>
    <mergeCell ref="S115:W115"/>
    <mergeCell ref="X115:X117"/>
    <mergeCell ref="Y115:AC115"/>
    <mergeCell ref="AD115:AD117"/>
    <mergeCell ref="T116:T117"/>
    <mergeCell ref="U116:W116"/>
    <mergeCell ref="Y116:Y117"/>
    <mergeCell ref="Z116:Z117"/>
    <mergeCell ref="AA116:AC116"/>
    <mergeCell ref="AD133:AI133"/>
    <mergeCell ref="B134:B136"/>
    <mergeCell ref="J134:J136"/>
    <mergeCell ref="R134:R136"/>
    <mergeCell ref="S134:W134"/>
    <mergeCell ref="X134:X136"/>
    <mergeCell ref="Y134:AC134"/>
    <mergeCell ref="AD134:AD136"/>
    <mergeCell ref="AF135:AF136"/>
    <mergeCell ref="AG135:AI135"/>
    <mergeCell ref="Z135:Z136"/>
    <mergeCell ref="AA135:AC135"/>
    <mergeCell ref="AE135:AE136"/>
    <mergeCell ref="AE134:AI134"/>
    <mergeCell ref="AF1:AI1"/>
    <mergeCell ref="B4:I4"/>
    <mergeCell ref="F6:I6"/>
    <mergeCell ref="C5:I5"/>
    <mergeCell ref="J4:Q4"/>
    <mergeCell ref="K5:Q5"/>
    <mergeCell ref="N6:Q6"/>
    <mergeCell ref="T135:T136"/>
    <mergeCell ref="U135:W135"/>
    <mergeCell ref="Y135:Y136"/>
    <mergeCell ref="C135:C136"/>
    <mergeCell ref="D135:D136"/>
    <mergeCell ref="E135:E136"/>
    <mergeCell ref="K135:K136"/>
    <mergeCell ref="L135:L136"/>
    <mergeCell ref="M135:M136"/>
    <mergeCell ref="S135:S136"/>
    <mergeCell ref="AE116:AE117"/>
    <mergeCell ref="AF116:AF117"/>
    <mergeCell ref="AG116:AI116"/>
    <mergeCell ref="A132:AI132"/>
    <mergeCell ref="A133:A136"/>
    <mergeCell ref="R133:W133"/>
    <mergeCell ref="X133:AC133"/>
  </mergeCells>
  <printOptions horizontalCentered="1"/>
  <pageMargins left="0" right="0" top="1.1417322834645669" bottom="0.35433070866141736" header="0.70866141732283472" footer="0.11811023622047245"/>
  <pageSetup paperSize="9" scale="69" fitToHeight="10000" orientation="landscape" r:id="rId1"/>
  <headerFooter>
    <oddFooter>&amp;C&amp;"Arial,обычный"&amp;8Страница  &amp;P из &amp;N</oddFooter>
  </headerFooter>
  <rowBreaks count="2" manualBreakCount="2">
    <brk id="37" max="34" man="1"/>
    <brk id="111" max="3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5"/>
  <sheetViews>
    <sheetView workbookViewId="0">
      <pane xSplit="5" ySplit="6" topLeftCell="CA21" activePane="bottomRight" state="frozen"/>
      <selection pane="topRight" activeCell="F1" sqref="F1"/>
      <selection pane="bottomLeft" activeCell="A7" sqref="A7"/>
      <selection pane="bottomRight" activeCell="CG23" sqref="CG23"/>
    </sheetView>
  </sheetViews>
  <sheetFormatPr defaultColWidth="9.109375" defaultRowHeight="13.2" x14ac:dyDescent="0.3"/>
  <cols>
    <col min="1" max="1" width="21" style="222" bestFit="1" customWidth="1"/>
    <col min="2" max="5" width="9.109375" style="223" hidden="1" customWidth="1"/>
    <col min="6" max="6" width="12.33203125" style="228" bestFit="1" customWidth="1"/>
    <col min="7" max="10" width="9.109375" style="223" hidden="1" customWidth="1"/>
    <col min="11" max="11" width="14.5546875" style="228" customWidth="1"/>
    <col min="12" max="14" width="9.109375" style="223" hidden="1" customWidth="1"/>
    <col min="15" max="15" width="11.33203125" style="228" bestFit="1" customWidth="1"/>
    <col min="16" max="18" width="9.109375" style="223" hidden="1" customWidth="1"/>
    <col min="19" max="19" width="9.6640625" style="228" bestFit="1" customWidth="1"/>
    <col min="20" max="23" width="9.109375" style="223" hidden="1" customWidth="1"/>
    <col min="24" max="24" width="12.33203125" style="228" bestFit="1" customWidth="1"/>
    <col min="25" max="28" width="9.109375" style="223" hidden="1" customWidth="1"/>
    <col min="29" max="31" width="12.33203125" style="228" bestFit="1" customWidth="1"/>
    <col min="32" max="32" width="5.109375" style="228" bestFit="1" customWidth="1"/>
    <col min="33" max="33" width="12.33203125" style="228" bestFit="1" customWidth="1"/>
    <col min="34" max="34" width="12.33203125" style="228" customWidth="1"/>
    <col min="35" max="35" width="11.33203125" style="228" bestFit="1" customWidth="1"/>
    <col min="36" max="36" width="9.109375" style="228" customWidth="1"/>
    <col min="37" max="38" width="12.33203125" style="228" bestFit="1" customWidth="1"/>
    <col min="39" max="39" width="5.109375" style="228" bestFit="1" customWidth="1"/>
    <col min="40" max="43" width="9.109375" style="223" customWidth="1"/>
    <col min="44" max="44" width="9.109375" style="228" customWidth="1"/>
    <col min="45" max="45" width="12.33203125" style="228" bestFit="1" customWidth="1"/>
    <col min="46" max="49" width="9.109375" style="223" customWidth="1"/>
    <col min="50" max="50" width="9.109375" style="228" customWidth="1"/>
    <col min="51" max="53" width="12.33203125" style="228" bestFit="1" customWidth="1"/>
    <col min="54" max="54" width="5.109375" style="228" bestFit="1" customWidth="1"/>
    <col min="55" max="58" width="9.109375" style="223" hidden="1" customWidth="1"/>
    <col min="59" max="59" width="12.33203125" style="228" bestFit="1" customWidth="1"/>
    <col min="60" max="63" width="9.109375" style="223" hidden="1" customWidth="1"/>
    <col min="64" max="64" width="11.33203125" style="228" bestFit="1" customWidth="1"/>
    <col min="65" max="67" width="11.33203125" style="223" hidden="1" customWidth="1"/>
    <col min="68" max="68" width="11.33203125" style="228" hidden="1" customWidth="1"/>
    <col min="69" max="71" width="11.33203125" style="223" hidden="1" customWidth="1"/>
    <col min="72" max="72" width="11.33203125" style="228" hidden="1" customWidth="1"/>
    <col min="73" max="73" width="6.109375" style="228" hidden="1" customWidth="1"/>
    <col min="74" max="74" width="12.33203125" style="228" bestFit="1" customWidth="1"/>
    <col min="75" max="75" width="11.33203125" style="228" bestFit="1" customWidth="1"/>
    <col min="76" max="76" width="11.33203125" style="223" hidden="1" customWidth="1"/>
    <col min="77" max="77" width="11.33203125" style="228" customWidth="1"/>
    <col min="78" max="78" width="11.33203125" style="223" hidden="1" customWidth="1"/>
    <col min="79" max="83" width="11.33203125" style="228" customWidth="1"/>
    <col min="84" max="84" width="15.109375" style="228" customWidth="1"/>
    <col min="85" max="85" width="12.33203125" style="228" bestFit="1" customWidth="1"/>
    <col min="86" max="86" width="11.33203125" style="228" bestFit="1" customWidth="1"/>
    <col min="87" max="90" width="9.109375" style="223" hidden="1" customWidth="1"/>
    <col min="91" max="91" width="12.33203125" style="228" bestFit="1" customWidth="1"/>
    <col min="92" max="95" width="9.109375" style="223" hidden="1" customWidth="1"/>
    <col min="96" max="98" width="12.33203125" style="228" bestFit="1" customWidth="1"/>
    <col min="99" max="99" width="9.109375" style="228"/>
    <col min="100" max="100" width="9.109375" style="223" hidden="1" customWidth="1"/>
    <col min="101" max="101" width="11.33203125" style="228" bestFit="1" customWidth="1"/>
    <col min="102" max="102" width="9.109375" style="223" hidden="1" customWidth="1"/>
    <col min="103" max="103" width="11.33203125" style="228" bestFit="1" customWidth="1"/>
    <col min="104" max="104" width="9.109375" style="223" hidden="1" customWidth="1"/>
    <col min="105" max="105" width="0" style="228" hidden="1" customWidth="1"/>
    <col min="106" max="106" width="9.109375" style="223" hidden="1" customWidth="1"/>
    <col min="107" max="107" width="0" style="228" hidden="1" customWidth="1"/>
    <col min="108" max="108" width="6.109375" style="228" hidden="1" customWidth="1"/>
    <col min="109" max="16384" width="9.109375" style="228"/>
  </cols>
  <sheetData>
    <row r="1" spans="1:108" s="217" customFormat="1" x14ac:dyDescent="0.3">
      <c r="B1" s="218"/>
      <c r="C1" s="218"/>
      <c r="D1" s="218"/>
      <c r="E1" s="218"/>
      <c r="G1" s="218"/>
      <c r="H1" s="218"/>
      <c r="I1" s="218"/>
      <c r="J1" s="218"/>
      <c r="L1" s="218"/>
      <c r="M1" s="218"/>
      <c r="N1" s="218"/>
      <c r="P1" s="218"/>
      <c r="Q1" s="218"/>
      <c r="R1" s="218"/>
      <c r="T1" s="218"/>
      <c r="U1" s="218"/>
      <c r="V1" s="218"/>
      <c r="W1" s="218"/>
      <c r="Y1" s="218"/>
      <c r="Z1" s="218"/>
      <c r="AA1" s="218"/>
      <c r="AB1" s="218"/>
      <c r="AN1" s="218"/>
      <c r="AO1" s="218"/>
      <c r="AP1" s="218"/>
      <c r="AQ1" s="218"/>
      <c r="AT1" s="218"/>
      <c r="AU1" s="218"/>
      <c r="AV1" s="218"/>
      <c r="AW1" s="218"/>
      <c r="BC1" s="218"/>
      <c r="BD1" s="218"/>
      <c r="BE1" s="218"/>
      <c r="BF1" s="218"/>
      <c r="BH1" s="218"/>
      <c r="BI1" s="218"/>
      <c r="BJ1" s="218"/>
      <c r="BK1" s="218"/>
      <c r="BM1" s="218"/>
      <c r="BN1" s="218"/>
      <c r="BO1" s="218"/>
      <c r="BQ1" s="218"/>
      <c r="BR1" s="218"/>
      <c r="BS1" s="218"/>
      <c r="BX1" s="218"/>
      <c r="BZ1" s="218"/>
      <c r="CI1" s="218"/>
      <c r="CJ1" s="218"/>
      <c r="CK1" s="218"/>
      <c r="CL1" s="218"/>
      <c r="CN1" s="218"/>
      <c r="CO1" s="218"/>
      <c r="CP1" s="218"/>
      <c r="CQ1" s="218"/>
      <c r="CV1" s="218"/>
      <c r="CX1" s="218"/>
      <c r="CZ1" s="218"/>
      <c r="DB1" s="218"/>
    </row>
    <row r="2" spans="1:108" s="217" customFormat="1" x14ac:dyDescent="0.3">
      <c r="B2" s="218"/>
      <c r="C2" s="218"/>
      <c r="D2" s="218"/>
      <c r="E2" s="218"/>
      <c r="G2" s="218"/>
      <c r="H2" s="218"/>
      <c r="I2" s="218"/>
      <c r="J2" s="218"/>
      <c r="L2" s="218"/>
      <c r="M2" s="218"/>
      <c r="N2" s="218"/>
      <c r="P2" s="218"/>
      <c r="Q2" s="218"/>
      <c r="R2" s="218"/>
      <c r="T2" s="218"/>
      <c r="U2" s="218"/>
      <c r="V2" s="218"/>
      <c r="W2" s="218"/>
      <c r="Y2" s="218"/>
      <c r="Z2" s="218"/>
      <c r="AA2" s="218"/>
      <c r="AB2" s="218"/>
      <c r="AN2" s="218"/>
      <c r="AO2" s="218"/>
      <c r="AP2" s="218"/>
      <c r="AQ2" s="218"/>
      <c r="AT2" s="218"/>
      <c r="AU2" s="218"/>
      <c r="AV2" s="218"/>
      <c r="AW2" s="218"/>
      <c r="BC2" s="218"/>
      <c r="BD2" s="218"/>
      <c r="BE2" s="218"/>
      <c r="BF2" s="218"/>
      <c r="BH2" s="218"/>
      <c r="BI2" s="218"/>
      <c r="BJ2" s="218"/>
      <c r="BK2" s="218"/>
      <c r="BM2" s="218"/>
      <c r="BN2" s="218"/>
      <c r="BO2" s="218"/>
      <c r="BQ2" s="218"/>
      <c r="BR2" s="218"/>
      <c r="BS2" s="218"/>
      <c r="BX2" s="218"/>
      <c r="BZ2" s="218"/>
      <c r="CI2" s="218"/>
      <c r="CJ2" s="218"/>
      <c r="CK2" s="218"/>
      <c r="CL2" s="218"/>
      <c r="CN2" s="218"/>
      <c r="CO2" s="218"/>
      <c r="CP2" s="218"/>
      <c r="CQ2" s="218"/>
      <c r="CV2" s="218"/>
      <c r="CX2" s="218"/>
      <c r="CZ2" s="218"/>
      <c r="DB2" s="218"/>
    </row>
    <row r="3" spans="1:108" s="217" customFormat="1" x14ac:dyDescent="0.3">
      <c r="B3" s="218"/>
      <c r="C3" s="218"/>
      <c r="D3" s="218"/>
      <c r="E3" s="218"/>
      <c r="G3" s="218"/>
      <c r="H3" s="218"/>
      <c r="I3" s="218"/>
      <c r="J3" s="218"/>
      <c r="L3" s="218"/>
      <c r="M3" s="218"/>
      <c r="N3" s="218"/>
      <c r="P3" s="218"/>
      <c r="Q3" s="218"/>
      <c r="R3" s="218"/>
      <c r="T3" s="218"/>
      <c r="U3" s="218"/>
      <c r="V3" s="218"/>
      <c r="W3" s="218"/>
      <c r="Y3" s="218"/>
      <c r="Z3" s="218"/>
      <c r="AA3" s="218"/>
      <c r="AB3" s="218"/>
      <c r="AN3" s="218"/>
      <c r="AO3" s="218"/>
      <c r="AP3" s="218"/>
      <c r="AQ3" s="218"/>
      <c r="AT3" s="218"/>
      <c r="AU3" s="218"/>
      <c r="AV3" s="218"/>
      <c r="AW3" s="218"/>
      <c r="BC3" s="218"/>
      <c r="BD3" s="218"/>
      <c r="BE3" s="218"/>
      <c r="BF3" s="218"/>
      <c r="BH3" s="218"/>
      <c r="BI3" s="218"/>
      <c r="BJ3" s="218"/>
      <c r="BK3" s="218"/>
      <c r="BM3" s="218"/>
      <c r="BN3" s="218"/>
      <c r="BO3" s="218"/>
      <c r="BQ3" s="218"/>
      <c r="BR3" s="218"/>
      <c r="BS3" s="218"/>
      <c r="BX3" s="218"/>
      <c r="BZ3" s="218"/>
      <c r="CI3" s="218"/>
      <c r="CJ3" s="218"/>
      <c r="CK3" s="218"/>
      <c r="CL3" s="218"/>
      <c r="CN3" s="218"/>
      <c r="CO3" s="218"/>
      <c r="CP3" s="218"/>
      <c r="CQ3" s="218"/>
      <c r="CV3" s="218"/>
      <c r="CX3" s="218"/>
      <c r="CZ3" s="218"/>
      <c r="DB3" s="218"/>
    </row>
    <row r="4" spans="1:108" s="219" customFormat="1" ht="64.5" customHeight="1" x14ac:dyDescent="0.3">
      <c r="A4" s="433" t="s">
        <v>133</v>
      </c>
      <c r="B4" s="433" t="s">
        <v>134</v>
      </c>
      <c r="C4" s="433"/>
      <c r="D4" s="433"/>
      <c r="E4" s="433"/>
      <c r="F4" s="433"/>
      <c r="G4" s="433"/>
      <c r="H4" s="433"/>
      <c r="I4" s="433"/>
      <c r="J4" s="433"/>
      <c r="K4" s="433"/>
      <c r="L4" s="433" t="s">
        <v>218</v>
      </c>
      <c r="M4" s="433"/>
      <c r="N4" s="433"/>
      <c r="O4" s="433"/>
      <c r="P4" s="433"/>
      <c r="Q4" s="433"/>
      <c r="R4" s="433"/>
      <c r="S4" s="433"/>
      <c r="T4" s="433" t="s">
        <v>135</v>
      </c>
      <c r="U4" s="433"/>
      <c r="V4" s="433"/>
      <c r="W4" s="433"/>
      <c r="X4" s="433"/>
      <c r="Y4" s="433"/>
      <c r="Z4" s="433"/>
      <c r="AA4" s="433"/>
      <c r="AB4" s="433"/>
      <c r="AC4" s="433"/>
      <c r="AD4" s="433" t="s">
        <v>136</v>
      </c>
      <c r="AE4" s="433"/>
      <c r="AF4" s="433"/>
      <c r="AG4" s="439" t="s">
        <v>137</v>
      </c>
      <c r="AH4" s="439"/>
      <c r="AI4" s="439"/>
      <c r="AJ4" s="439"/>
      <c r="AK4" s="433" t="s">
        <v>138</v>
      </c>
      <c r="AL4" s="433"/>
      <c r="AM4" s="433"/>
      <c r="AN4" s="433" t="s">
        <v>139</v>
      </c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 t="s">
        <v>140</v>
      </c>
      <c r="BA4" s="433"/>
      <c r="BB4" s="433"/>
      <c r="BC4" s="433" t="s">
        <v>141</v>
      </c>
      <c r="BD4" s="433"/>
      <c r="BE4" s="433"/>
      <c r="BF4" s="433"/>
      <c r="BG4" s="433"/>
      <c r="BH4" s="433"/>
      <c r="BI4" s="433"/>
      <c r="BJ4" s="433"/>
      <c r="BK4" s="433"/>
      <c r="BL4" s="433"/>
      <c r="BM4" s="433" t="s">
        <v>142</v>
      </c>
      <c r="BN4" s="433"/>
      <c r="BO4" s="433"/>
      <c r="BP4" s="433"/>
      <c r="BQ4" s="433"/>
      <c r="BR4" s="433"/>
      <c r="BS4" s="433"/>
      <c r="BT4" s="433"/>
      <c r="BU4" s="433"/>
      <c r="BV4" s="433" t="s">
        <v>212</v>
      </c>
      <c r="BW4" s="219" t="s">
        <v>143</v>
      </c>
      <c r="BX4" s="433" t="s">
        <v>213</v>
      </c>
      <c r="BY4" s="433"/>
      <c r="BZ4" s="433" t="s">
        <v>143</v>
      </c>
      <c r="CA4" s="433"/>
      <c r="CB4" s="433" t="s">
        <v>214</v>
      </c>
      <c r="CC4" s="219" t="s">
        <v>143</v>
      </c>
      <c r="CD4" s="433" t="s">
        <v>144</v>
      </c>
      <c r="CE4" s="433"/>
      <c r="CF4" s="433" t="s">
        <v>145</v>
      </c>
      <c r="CG4" s="433" t="s">
        <v>215</v>
      </c>
      <c r="CH4" s="433" t="s">
        <v>146</v>
      </c>
      <c r="CI4" s="433" t="s">
        <v>147</v>
      </c>
      <c r="CJ4" s="433"/>
      <c r="CK4" s="433"/>
      <c r="CL4" s="433"/>
      <c r="CM4" s="433"/>
      <c r="CN4" s="433"/>
      <c r="CO4" s="433"/>
      <c r="CP4" s="433"/>
      <c r="CQ4" s="433"/>
      <c r="CR4" s="433"/>
      <c r="CS4" s="433" t="s">
        <v>148</v>
      </c>
      <c r="CT4" s="433"/>
      <c r="CU4" s="433"/>
      <c r="CV4" s="433" t="s">
        <v>149</v>
      </c>
      <c r="CW4" s="433"/>
      <c r="CX4" s="433"/>
      <c r="CY4" s="433"/>
      <c r="CZ4" s="433" t="s">
        <v>150</v>
      </c>
      <c r="DA4" s="433"/>
      <c r="DB4" s="433"/>
      <c r="DC4" s="433"/>
      <c r="DD4" s="433"/>
    </row>
    <row r="5" spans="1:108" s="219" customFormat="1" ht="12.75" customHeight="1" x14ac:dyDescent="0.3">
      <c r="A5" s="433"/>
      <c r="B5" s="433" t="s">
        <v>151</v>
      </c>
      <c r="C5" s="433"/>
      <c r="D5" s="433"/>
      <c r="E5" s="433"/>
      <c r="F5" s="433"/>
      <c r="G5" s="433" t="s">
        <v>152</v>
      </c>
      <c r="H5" s="433"/>
      <c r="I5" s="433"/>
      <c r="J5" s="433"/>
      <c r="K5" s="433"/>
      <c r="L5" s="433" t="s">
        <v>151</v>
      </c>
      <c r="M5" s="433"/>
      <c r="N5" s="433"/>
      <c r="O5" s="433"/>
      <c r="P5" s="433" t="s">
        <v>152</v>
      </c>
      <c r="Q5" s="433"/>
      <c r="R5" s="433"/>
      <c r="S5" s="433"/>
      <c r="T5" s="433" t="s">
        <v>151</v>
      </c>
      <c r="U5" s="433"/>
      <c r="V5" s="433"/>
      <c r="W5" s="433"/>
      <c r="X5" s="433"/>
      <c r="Y5" s="433" t="s">
        <v>152</v>
      </c>
      <c r="Z5" s="433"/>
      <c r="AA5" s="433"/>
      <c r="AB5" s="433"/>
      <c r="AC5" s="433"/>
      <c r="AD5" s="433" t="s">
        <v>151</v>
      </c>
      <c r="AE5" s="433" t="s">
        <v>152</v>
      </c>
      <c r="AF5" s="433" t="s">
        <v>153</v>
      </c>
      <c r="AG5" s="439" t="s">
        <v>151</v>
      </c>
      <c r="AH5" s="439" t="s">
        <v>56</v>
      </c>
      <c r="AI5" s="439" t="s">
        <v>152</v>
      </c>
      <c r="AJ5" s="439" t="s">
        <v>56</v>
      </c>
      <c r="AK5" s="433" t="s">
        <v>151</v>
      </c>
      <c r="AL5" s="433" t="s">
        <v>152</v>
      </c>
      <c r="AM5" s="433" t="s">
        <v>153</v>
      </c>
      <c r="AN5" s="433" t="s">
        <v>151</v>
      </c>
      <c r="AO5" s="433"/>
      <c r="AP5" s="433"/>
      <c r="AQ5" s="433"/>
      <c r="AR5" s="433"/>
      <c r="AS5" s="433"/>
      <c r="AT5" s="433" t="s">
        <v>152</v>
      </c>
      <c r="AU5" s="433"/>
      <c r="AV5" s="433"/>
      <c r="AW5" s="433"/>
      <c r="AX5" s="433"/>
      <c r="AY5" s="433"/>
      <c r="AZ5" s="433" t="s">
        <v>151</v>
      </c>
      <c r="BA5" s="433" t="s">
        <v>152</v>
      </c>
      <c r="BB5" s="433" t="s">
        <v>153</v>
      </c>
      <c r="BC5" s="433" t="s">
        <v>151</v>
      </c>
      <c r="BD5" s="433"/>
      <c r="BE5" s="433"/>
      <c r="BF5" s="433"/>
      <c r="BG5" s="433"/>
      <c r="BH5" s="433" t="s">
        <v>152</v>
      </c>
      <c r="BI5" s="433"/>
      <c r="BJ5" s="433"/>
      <c r="BK5" s="433"/>
      <c r="BL5" s="433"/>
      <c r="BM5" s="433" t="s">
        <v>151</v>
      </c>
      <c r="BN5" s="433"/>
      <c r="BO5" s="433"/>
      <c r="BP5" s="433"/>
      <c r="BQ5" s="433" t="s">
        <v>152</v>
      </c>
      <c r="BR5" s="433"/>
      <c r="BS5" s="433"/>
      <c r="BT5" s="433"/>
      <c r="BU5" s="433" t="s">
        <v>153</v>
      </c>
      <c r="BV5" s="433"/>
      <c r="BW5" s="433" t="s">
        <v>154</v>
      </c>
      <c r="BX5" s="433"/>
      <c r="BY5" s="433"/>
      <c r="BZ5" s="433" t="s">
        <v>155</v>
      </c>
      <c r="CA5" s="433"/>
      <c r="CB5" s="433"/>
      <c r="CC5" s="433" t="s">
        <v>156</v>
      </c>
      <c r="CD5" s="433"/>
      <c r="CE5" s="433"/>
      <c r="CF5" s="433"/>
      <c r="CG5" s="433"/>
      <c r="CH5" s="433"/>
      <c r="CI5" s="433" t="s">
        <v>151</v>
      </c>
      <c r="CJ5" s="433"/>
      <c r="CK5" s="433"/>
      <c r="CL5" s="433"/>
      <c r="CM5" s="433"/>
      <c r="CN5" s="433" t="s">
        <v>152</v>
      </c>
      <c r="CO5" s="433"/>
      <c r="CP5" s="433"/>
      <c r="CQ5" s="433"/>
      <c r="CR5" s="433"/>
      <c r="CS5" s="433"/>
      <c r="CT5" s="433"/>
      <c r="CU5" s="433"/>
      <c r="CV5" s="433" t="s">
        <v>151</v>
      </c>
      <c r="CW5" s="433"/>
      <c r="CX5" s="433" t="s">
        <v>152</v>
      </c>
      <c r="CY5" s="433"/>
      <c r="CZ5" s="433" t="s">
        <v>151</v>
      </c>
      <c r="DA5" s="433"/>
      <c r="DB5" s="433" t="s">
        <v>152</v>
      </c>
      <c r="DC5" s="433"/>
      <c r="DD5" s="433" t="s">
        <v>153</v>
      </c>
    </row>
    <row r="6" spans="1:108" s="219" customFormat="1" ht="52.8" x14ac:dyDescent="0.3">
      <c r="A6" s="433"/>
      <c r="B6" s="220" t="s">
        <v>157</v>
      </c>
      <c r="C6" s="220" t="s">
        <v>158</v>
      </c>
      <c r="D6" s="220" t="s">
        <v>216</v>
      </c>
      <c r="E6" s="220" t="s">
        <v>217</v>
      </c>
      <c r="F6" s="219" t="s">
        <v>160</v>
      </c>
      <c r="G6" s="220" t="s">
        <v>157</v>
      </c>
      <c r="H6" s="220" t="s">
        <v>158</v>
      </c>
      <c r="I6" s="220" t="s">
        <v>216</v>
      </c>
      <c r="J6" s="220" t="s">
        <v>217</v>
      </c>
      <c r="K6" s="219" t="s">
        <v>160</v>
      </c>
      <c r="L6" s="220" t="s">
        <v>158</v>
      </c>
      <c r="M6" s="220" t="s">
        <v>216</v>
      </c>
      <c r="N6" s="220" t="s">
        <v>217</v>
      </c>
      <c r="O6" s="219" t="s">
        <v>160</v>
      </c>
      <c r="P6" s="220" t="s">
        <v>158</v>
      </c>
      <c r="Q6" s="220" t="s">
        <v>216</v>
      </c>
      <c r="R6" s="220" t="s">
        <v>217</v>
      </c>
      <c r="S6" s="219" t="s">
        <v>160</v>
      </c>
      <c r="T6" s="220" t="s">
        <v>157</v>
      </c>
      <c r="U6" s="220" t="s">
        <v>158</v>
      </c>
      <c r="V6" s="220" t="s">
        <v>216</v>
      </c>
      <c r="W6" s="220" t="s">
        <v>217</v>
      </c>
      <c r="X6" s="219" t="s">
        <v>160</v>
      </c>
      <c r="Y6" s="220" t="s">
        <v>157</v>
      </c>
      <c r="Z6" s="220" t="s">
        <v>158</v>
      </c>
      <c r="AA6" s="220" t="s">
        <v>216</v>
      </c>
      <c r="AB6" s="220" t="s">
        <v>217</v>
      </c>
      <c r="AC6" s="219" t="s">
        <v>160</v>
      </c>
      <c r="AD6" s="433"/>
      <c r="AE6" s="433"/>
      <c r="AF6" s="433"/>
      <c r="AG6" s="439"/>
      <c r="AH6" s="439"/>
      <c r="AI6" s="439"/>
      <c r="AJ6" s="439"/>
      <c r="AK6" s="433"/>
      <c r="AL6" s="433"/>
      <c r="AM6" s="433"/>
      <c r="AN6" s="220" t="s">
        <v>157</v>
      </c>
      <c r="AO6" s="220" t="s">
        <v>158</v>
      </c>
      <c r="AP6" s="220" t="s">
        <v>216</v>
      </c>
      <c r="AQ6" s="220" t="s">
        <v>217</v>
      </c>
      <c r="AR6" s="221" t="s">
        <v>161</v>
      </c>
      <c r="AS6" s="219" t="s">
        <v>160</v>
      </c>
      <c r="AT6" s="220" t="s">
        <v>157</v>
      </c>
      <c r="AU6" s="220" t="s">
        <v>158</v>
      </c>
      <c r="AV6" s="220" t="s">
        <v>216</v>
      </c>
      <c r="AW6" s="220" t="s">
        <v>217</v>
      </c>
      <c r="AX6" s="221" t="s">
        <v>161</v>
      </c>
      <c r="AY6" s="219" t="s">
        <v>160</v>
      </c>
      <c r="AZ6" s="433"/>
      <c r="BA6" s="433"/>
      <c r="BB6" s="433"/>
      <c r="BC6" s="220" t="s">
        <v>157</v>
      </c>
      <c r="BD6" s="220" t="s">
        <v>158</v>
      </c>
      <c r="BE6" s="220" t="s">
        <v>216</v>
      </c>
      <c r="BF6" s="220" t="s">
        <v>217</v>
      </c>
      <c r="BG6" s="219" t="s">
        <v>160</v>
      </c>
      <c r="BH6" s="220" t="s">
        <v>157</v>
      </c>
      <c r="BI6" s="220" t="s">
        <v>158</v>
      </c>
      <c r="BJ6" s="220" t="s">
        <v>216</v>
      </c>
      <c r="BK6" s="220" t="s">
        <v>217</v>
      </c>
      <c r="BL6" s="219" t="s">
        <v>160</v>
      </c>
      <c r="BM6" s="220" t="s">
        <v>157</v>
      </c>
      <c r="BN6" s="220" t="s">
        <v>158</v>
      </c>
      <c r="BO6" s="220" t="s">
        <v>159</v>
      </c>
      <c r="BP6" s="219" t="s">
        <v>160</v>
      </c>
      <c r="BQ6" s="220" t="s">
        <v>157</v>
      </c>
      <c r="BR6" s="220" t="s">
        <v>158</v>
      </c>
      <c r="BS6" s="220" t="s">
        <v>159</v>
      </c>
      <c r="BT6" s="219" t="s">
        <v>160</v>
      </c>
      <c r="BU6" s="433"/>
      <c r="BV6" s="433"/>
      <c r="BW6" s="433"/>
      <c r="BX6" s="433"/>
      <c r="BY6" s="433"/>
      <c r="BZ6" s="433"/>
      <c r="CA6" s="433"/>
      <c r="CB6" s="433"/>
      <c r="CC6" s="433"/>
      <c r="CD6" s="219" t="s">
        <v>151</v>
      </c>
      <c r="CE6" s="219" t="s">
        <v>152</v>
      </c>
      <c r="CF6" s="433"/>
      <c r="CG6" s="433"/>
      <c r="CH6" s="433"/>
      <c r="CI6" s="220" t="s">
        <v>157</v>
      </c>
      <c r="CJ6" s="220" t="s">
        <v>158</v>
      </c>
      <c r="CK6" s="220" t="s">
        <v>216</v>
      </c>
      <c r="CL6" s="220" t="s">
        <v>217</v>
      </c>
      <c r="CM6" s="219" t="s">
        <v>160</v>
      </c>
      <c r="CN6" s="220" t="s">
        <v>157</v>
      </c>
      <c r="CO6" s="220" t="s">
        <v>158</v>
      </c>
      <c r="CP6" s="220" t="s">
        <v>216</v>
      </c>
      <c r="CQ6" s="220" t="s">
        <v>217</v>
      </c>
      <c r="CR6" s="219" t="s">
        <v>160</v>
      </c>
      <c r="CS6" s="219" t="s">
        <v>151</v>
      </c>
      <c r="CT6" s="219" t="s">
        <v>152</v>
      </c>
      <c r="CU6" s="219" t="s">
        <v>153</v>
      </c>
      <c r="CV6" s="220" t="s">
        <v>162</v>
      </c>
      <c r="CW6" s="219" t="s">
        <v>160</v>
      </c>
      <c r="CX6" s="220" t="s">
        <v>162</v>
      </c>
      <c r="CY6" s="219" t="s">
        <v>160</v>
      </c>
      <c r="CZ6" s="220" t="s">
        <v>162</v>
      </c>
      <c r="DA6" s="219" t="s">
        <v>160</v>
      </c>
      <c r="DB6" s="220" t="s">
        <v>162</v>
      </c>
      <c r="DC6" s="219" t="s">
        <v>160</v>
      </c>
      <c r="DD6" s="433"/>
    </row>
    <row r="7" spans="1:108" x14ac:dyDescent="0.3">
      <c r="A7" s="222" t="s">
        <v>163</v>
      </c>
      <c r="B7" s="223">
        <v>0</v>
      </c>
      <c r="C7" s="223">
        <v>1274875807.98</v>
      </c>
      <c r="D7" s="223">
        <v>203250383.90000001</v>
      </c>
      <c r="E7" s="223">
        <v>84102199.120000005</v>
      </c>
      <c r="F7" s="224">
        <f>(B7+C7+D7+E7)/1000</f>
        <v>1562228.3910000001</v>
      </c>
      <c r="G7" s="223">
        <v>0</v>
      </c>
      <c r="H7" s="223">
        <v>634277025.36000001</v>
      </c>
      <c r="I7" s="223">
        <v>82997427.400000006</v>
      </c>
      <c r="J7" s="223">
        <v>29348154.300000001</v>
      </c>
      <c r="K7" s="224">
        <f>(G7+H7+I7+J7)/1000</f>
        <v>746622.60705999995</v>
      </c>
      <c r="L7" s="223">
        <v>149550945.10000002</v>
      </c>
      <c r="M7" s="223">
        <v>1019000</v>
      </c>
      <c r="N7" s="223">
        <v>4686518.1500000004</v>
      </c>
      <c r="O7" s="224">
        <f>(L7+M7+N7)/1000</f>
        <v>155256.46325000003</v>
      </c>
      <c r="P7" s="223">
        <v>58753886.719999999</v>
      </c>
      <c r="Q7" s="223">
        <v>563666.65</v>
      </c>
      <c r="R7" s="223">
        <v>893800</v>
      </c>
      <c r="S7" s="224">
        <f>(P7+Q7+R7)/1000</f>
        <v>60211.353369999997</v>
      </c>
      <c r="T7" s="223">
        <v>0</v>
      </c>
      <c r="U7" s="223">
        <v>1350173665.2</v>
      </c>
      <c r="V7" s="223">
        <v>213272873.90000001</v>
      </c>
      <c r="W7" s="223">
        <v>98104438</v>
      </c>
      <c r="X7" s="224">
        <f>(T7+U7+V7+W7)/1000</f>
        <v>1661550.9771000003</v>
      </c>
      <c r="Y7" s="223">
        <v>0</v>
      </c>
      <c r="Z7" s="223">
        <v>683863383.70000005</v>
      </c>
      <c r="AA7" s="223">
        <v>49182761.369999997</v>
      </c>
      <c r="AB7" s="223">
        <v>39369127.229999997</v>
      </c>
      <c r="AC7" s="224">
        <f>(Y7+Z7+AA7+AB7)/1000</f>
        <v>772415.27230000007</v>
      </c>
      <c r="AD7" s="224">
        <f>F7-O7</f>
        <v>1406971.92775</v>
      </c>
      <c r="AE7" s="224">
        <f>K7-S7</f>
        <v>686411.25368999992</v>
      </c>
      <c r="AF7" s="224">
        <f>AE7/AD7%</f>
        <v>48.786421402713728</v>
      </c>
      <c r="AG7" s="225">
        <v>1406972</v>
      </c>
      <c r="AH7" s="225">
        <f>AG7-AD7</f>
        <v>7.2249999968335032E-2</v>
      </c>
      <c r="AI7" s="225">
        <v>686411</v>
      </c>
      <c r="AJ7" s="225">
        <f>AI7-AE7</f>
        <v>-0.25368999992497265</v>
      </c>
      <c r="AK7" s="224">
        <f t="shared" ref="AK7:AK32" si="0">X7-O7</f>
        <v>1506294.5138500002</v>
      </c>
      <c r="AL7" s="224">
        <f>AC7-S7</f>
        <v>712203.91893000004</v>
      </c>
      <c r="AM7" s="224">
        <f>AL7/AK7%</f>
        <v>47.281850420449892</v>
      </c>
      <c r="AN7" s="223">
        <v>0</v>
      </c>
      <c r="AO7" s="223">
        <v>1010612751.3200001</v>
      </c>
      <c r="AP7" s="223">
        <v>82939483.900000006</v>
      </c>
      <c r="AQ7" s="223">
        <v>66611461.200000003</v>
      </c>
      <c r="AR7" s="226">
        <f>L7-AP7-AQ7</f>
        <v>0</v>
      </c>
      <c r="AS7" s="224">
        <f>(AN7+AO7+AP7+AQ7)/1000</f>
        <v>1160163.6964200002</v>
      </c>
      <c r="AT7" s="223">
        <v>0</v>
      </c>
      <c r="AU7" s="223">
        <v>527031056.64999998</v>
      </c>
      <c r="AV7" s="223">
        <v>34132100.82</v>
      </c>
      <c r="AW7" s="223">
        <v>24621785.899999999</v>
      </c>
      <c r="AX7" s="226">
        <f>P7-AV7-AW7</f>
        <v>0</v>
      </c>
      <c r="AY7" s="224">
        <f>(AT7+AU7+AV7+AW7)/1000</f>
        <v>585784.94336999999</v>
      </c>
      <c r="AZ7" s="224">
        <f>AS7-O7</f>
        <v>1004907.2331700001</v>
      </c>
      <c r="BA7" s="224">
        <f t="shared" ref="BA7:BA32" si="1">AY7-S7</f>
        <v>525573.59</v>
      </c>
      <c r="BB7" s="224">
        <f>BA7/AZ7%</f>
        <v>52.300707234643689</v>
      </c>
      <c r="BC7" s="223">
        <v>0</v>
      </c>
      <c r="BD7" s="223">
        <v>302777800</v>
      </c>
      <c r="BE7" s="223">
        <v>120310900</v>
      </c>
      <c r="BF7" s="223">
        <v>21420496.210000001</v>
      </c>
      <c r="BG7" s="224">
        <f>(BC7+BD7+BE7+BF7)/1000</f>
        <v>444509.19620999997</v>
      </c>
      <c r="BH7" s="223">
        <v>0</v>
      </c>
      <c r="BI7" s="223">
        <v>145700712.05000001</v>
      </c>
      <c r="BJ7" s="223">
        <v>48384304.810000002</v>
      </c>
      <c r="BK7" s="223">
        <v>8643477.5700000003</v>
      </c>
      <c r="BL7" s="224">
        <f>(BH7+BI7+BJ7+BK7)/1000</f>
        <v>202728.49443000002</v>
      </c>
      <c r="BM7" s="227"/>
      <c r="BN7" s="227"/>
      <c r="BO7" s="227"/>
      <c r="BP7" s="224">
        <f>(BM7+BN7+BO7)/1000</f>
        <v>0</v>
      </c>
      <c r="BQ7" s="227"/>
      <c r="BR7" s="227"/>
      <c r="BS7" s="227"/>
      <c r="BT7" s="224">
        <f>(BQ7+BR7+BS7)/1000</f>
        <v>0</v>
      </c>
      <c r="BU7" s="224" t="e">
        <f>BT7/BP7%</f>
        <v>#DIV/0!</v>
      </c>
      <c r="BV7" s="224">
        <v>43806.600229999996</v>
      </c>
      <c r="BW7" s="224">
        <v>48758.63521</v>
      </c>
      <c r="BX7" s="227">
        <v>46243348.549999997</v>
      </c>
      <c r="BY7" s="224">
        <f>BX7/1000</f>
        <v>46243.348549999995</v>
      </c>
      <c r="BZ7" s="227">
        <v>30872237.739999998</v>
      </c>
      <c r="CA7" s="224">
        <f>BZ7/1000</f>
        <v>30872.237739999997</v>
      </c>
      <c r="CB7" s="224">
        <f>BY7-BV7</f>
        <v>2436.7483199999988</v>
      </c>
      <c r="CC7" s="224">
        <f>CA7-BW7</f>
        <v>-17886.397470000004</v>
      </c>
      <c r="CD7" s="224">
        <f t="shared" ref="CD7:CD32" si="2">AD7-AK7</f>
        <v>-99322.58610000019</v>
      </c>
      <c r="CE7" s="224">
        <f t="shared" ref="CE7:CE32" si="3">AE7-AL7</f>
        <v>-25792.665240000119</v>
      </c>
      <c r="CF7" s="224">
        <v>39000</v>
      </c>
      <c r="CG7" s="224">
        <v>44300</v>
      </c>
      <c r="CH7" s="224">
        <f>CG7-CF7</f>
        <v>5300</v>
      </c>
      <c r="CI7" s="223">
        <v>0</v>
      </c>
      <c r="CJ7" s="223">
        <v>972098007.98000002</v>
      </c>
      <c r="CK7" s="223">
        <v>82939483.900000006</v>
      </c>
      <c r="CL7" s="223">
        <v>62681702.909999996</v>
      </c>
      <c r="CM7" s="224">
        <f>(CI7+CJ7+CK7+CL7)/1000</f>
        <v>1117719.1947899999</v>
      </c>
      <c r="CN7" s="223">
        <v>0</v>
      </c>
      <c r="CO7" s="223">
        <v>488576313.31</v>
      </c>
      <c r="CP7" s="223">
        <v>34613122.590000004</v>
      </c>
      <c r="CQ7" s="223">
        <v>20704676.73</v>
      </c>
      <c r="CR7" s="224">
        <f>(CN7+CO7+CP7+CQ7)/1000</f>
        <v>543894.11262999999</v>
      </c>
      <c r="CS7" s="228">
        <f t="shared" ref="CS7:CS32" si="4">CM7-O7</f>
        <v>962462.73153999983</v>
      </c>
      <c r="CT7" s="228">
        <f t="shared" ref="CT7:CT32" si="5">CR7-S7</f>
        <v>483682.75925999996</v>
      </c>
      <c r="CU7" s="224">
        <f>CT7/CS7%</f>
        <v>50.254700094836672</v>
      </c>
      <c r="CV7" s="223">
        <v>228983000</v>
      </c>
      <c r="CW7" s="224">
        <f>CV7/1000</f>
        <v>228983</v>
      </c>
      <c r="CX7" s="223">
        <v>113783486.93000001</v>
      </c>
      <c r="CY7" s="224">
        <f>CX7/1000</f>
        <v>113783.48693000001</v>
      </c>
      <c r="DA7" s="224">
        <f>CZ7/1000</f>
        <v>0</v>
      </c>
      <c r="DC7" s="224">
        <f>DB7/1000</f>
        <v>0</v>
      </c>
      <c r="DD7" s="229" t="e">
        <f>DC7/DA7%</f>
        <v>#DIV/0!</v>
      </c>
    </row>
    <row r="8" spans="1:108" x14ac:dyDescent="0.3">
      <c r="A8" s="222" t="s">
        <v>164</v>
      </c>
      <c r="B8" s="223">
        <v>0</v>
      </c>
      <c r="C8" s="223">
        <v>620572045.35000002</v>
      </c>
      <c r="D8" s="223">
        <v>0</v>
      </c>
      <c r="E8" s="223">
        <v>23394885.829999998</v>
      </c>
      <c r="F8" s="224">
        <f t="shared" ref="F8:F32" si="6">(B8+C8+D8+E8)/1000</f>
        <v>643966.93118000007</v>
      </c>
      <c r="G8" s="223">
        <v>0</v>
      </c>
      <c r="H8" s="223">
        <v>311096120.52999997</v>
      </c>
      <c r="I8" s="223">
        <v>0</v>
      </c>
      <c r="J8" s="223">
        <v>-4769674.5599999996</v>
      </c>
      <c r="K8" s="224">
        <f t="shared" ref="K8:K32" si="7">(G8+H8+I8+J8)/1000</f>
        <v>306326.44596999994</v>
      </c>
      <c r="L8" s="223">
        <v>34472500</v>
      </c>
      <c r="M8" s="223">
        <v>0</v>
      </c>
      <c r="N8" s="223">
        <v>431900</v>
      </c>
      <c r="O8" s="224">
        <f t="shared" ref="O8:O32" si="8">(L8+M8+N8)/1000</f>
        <v>34904.400000000001</v>
      </c>
      <c r="P8" s="223">
        <v>17025625.189999998</v>
      </c>
      <c r="Q8" s="223">
        <v>0</v>
      </c>
      <c r="R8" s="223">
        <v>216000</v>
      </c>
      <c r="S8" s="224">
        <f t="shared" ref="S8:S32" si="9">(P8+Q8+R8)/1000</f>
        <v>17241.625189999999</v>
      </c>
      <c r="T8" s="223">
        <v>0</v>
      </c>
      <c r="U8" s="223">
        <v>633031423.05999994</v>
      </c>
      <c r="V8" s="223">
        <v>0</v>
      </c>
      <c r="W8" s="223">
        <v>75435575.280000001</v>
      </c>
      <c r="X8" s="224">
        <f t="shared" ref="X8:X32" si="10">(T8+U8+V8+W8)/1000</f>
        <v>708466.99833999993</v>
      </c>
      <c r="Y8" s="223">
        <v>0</v>
      </c>
      <c r="Z8" s="223">
        <v>301381143.52999997</v>
      </c>
      <c r="AA8" s="223">
        <v>0</v>
      </c>
      <c r="AB8" s="223">
        <v>44937536.200000003</v>
      </c>
      <c r="AC8" s="224">
        <f t="shared" ref="AC8:AC32" si="11">(Y8+Z8+AA8+AB8)/1000</f>
        <v>346318.67972999997</v>
      </c>
      <c r="AD8" s="224">
        <f t="shared" ref="AD8:AD32" si="12">F8-O8</f>
        <v>609062.53118000005</v>
      </c>
      <c r="AE8" s="224">
        <f t="shared" ref="AE8:AE32" si="13">K8-S8</f>
        <v>289084.82077999995</v>
      </c>
      <c r="AF8" s="224">
        <f t="shared" ref="AF8:AF33" si="14">AE8/AD8%</f>
        <v>47.463898365234506</v>
      </c>
      <c r="AG8" s="225">
        <v>609063</v>
      </c>
      <c r="AH8" s="225">
        <f t="shared" ref="AH8:AH32" si="15">AG8-AD8</f>
        <v>0.46881999995093793</v>
      </c>
      <c r="AI8" s="225">
        <v>289085</v>
      </c>
      <c r="AJ8" s="225">
        <f t="shared" ref="AJ8:AJ32" si="16">AI8-AE8</f>
        <v>0.17922000004909933</v>
      </c>
      <c r="AK8" s="224">
        <f t="shared" si="0"/>
        <v>673562.59833999991</v>
      </c>
      <c r="AL8" s="224">
        <f t="shared" ref="AL8:AL32" si="17">AC8-S8</f>
        <v>329077.05453999998</v>
      </c>
      <c r="AM8" s="224">
        <f t="shared" ref="AM8:AM34" si="18">AL8/AK8%</f>
        <v>48.8561947101892</v>
      </c>
      <c r="AN8" s="223">
        <v>0</v>
      </c>
      <c r="AO8" s="223">
        <v>539163960.05999994</v>
      </c>
      <c r="AP8" s="223">
        <v>0</v>
      </c>
      <c r="AQ8" s="223">
        <v>34472500</v>
      </c>
      <c r="AR8" s="226">
        <f t="shared" ref="AR8:AR32" si="19">L8-AP8-AQ8</f>
        <v>0</v>
      </c>
      <c r="AS8" s="224">
        <f t="shared" ref="AS8:AS32" si="20">(AN8+AO8+AP8+AQ8)/1000</f>
        <v>573636.46005999995</v>
      </c>
      <c r="AT8" s="223">
        <v>0</v>
      </c>
      <c r="AU8" s="223">
        <v>273385107.83999997</v>
      </c>
      <c r="AV8" s="223">
        <v>0</v>
      </c>
      <c r="AW8" s="223">
        <v>17025625.190000001</v>
      </c>
      <c r="AX8" s="226">
        <f t="shared" ref="AX8:AX32" si="21">P8-AV8-AW8</f>
        <v>0</v>
      </c>
      <c r="AY8" s="224">
        <f t="shared" ref="AY8:AY32" si="22">(AT8+AU8+AV8+AW8)/1000</f>
        <v>290410.73302999994</v>
      </c>
      <c r="AZ8" s="224">
        <f t="shared" ref="AZ8:AZ32" si="23">AS8-O8</f>
        <v>538732.06005999993</v>
      </c>
      <c r="BA8" s="224">
        <f t="shared" si="1"/>
        <v>273169.10783999995</v>
      </c>
      <c r="BB8" s="224">
        <f t="shared" ref="BB8:BB33" si="24">BA8/AZ8%</f>
        <v>50.705931221092811</v>
      </c>
      <c r="BC8" s="223">
        <v>0</v>
      </c>
      <c r="BD8" s="223">
        <v>80830600</v>
      </c>
      <c r="BE8" s="223">
        <v>0</v>
      </c>
      <c r="BF8" s="223">
        <v>16355230</v>
      </c>
      <c r="BG8" s="224">
        <f t="shared" ref="BG8:BG32" si="25">(BC8+BD8+BE8+BF8)/1000</f>
        <v>97185.83</v>
      </c>
      <c r="BH8" s="223">
        <v>0</v>
      </c>
      <c r="BI8" s="223">
        <v>37133527.399999999</v>
      </c>
      <c r="BJ8" s="223">
        <v>0</v>
      </c>
      <c r="BK8" s="223">
        <v>5637544.4199999999</v>
      </c>
      <c r="BL8" s="224">
        <f t="shared" ref="BL8:BL32" si="26">(BH8+BI8+BJ8+BK8)/1000</f>
        <v>42771.071819999997</v>
      </c>
      <c r="BM8" s="227"/>
      <c r="BN8" s="227"/>
      <c r="BO8" s="227"/>
      <c r="BP8" s="224">
        <f t="shared" ref="BP8:BP32" si="27">(BM8+BN8+BO8)/1000</f>
        <v>0</v>
      </c>
      <c r="BQ8" s="227"/>
      <c r="BR8" s="227"/>
      <c r="BS8" s="227"/>
      <c r="BT8" s="224">
        <f t="shared" ref="BT8:BT32" si="28">(BQ8+BR8+BS8)/1000</f>
        <v>0</v>
      </c>
      <c r="BU8" s="224" t="e">
        <f t="shared" ref="BU8:BU33" si="29">BT8/BP8%</f>
        <v>#DIV/0!</v>
      </c>
      <c r="BV8" s="224">
        <v>66934.622929999998</v>
      </c>
      <c r="BW8" s="224">
        <v>51674.591270000004</v>
      </c>
      <c r="BX8" s="227">
        <v>32756471.969999999</v>
      </c>
      <c r="BY8" s="224">
        <f t="shared" ref="BY8:BY32" si="30">BX8/1000</f>
        <v>32756.471969999999</v>
      </c>
      <c r="BZ8" s="227">
        <v>3123537.53</v>
      </c>
      <c r="CA8" s="224">
        <f t="shared" ref="CA8:CA32" si="31">BZ8/1000</f>
        <v>3123.5375299999996</v>
      </c>
      <c r="CB8" s="224">
        <f t="shared" ref="CB8:CB32" si="32">BY8-BV8</f>
        <v>-34178.150959999999</v>
      </c>
      <c r="CC8" s="224">
        <f t="shared" ref="CC8:CC32" si="33">CA8-BW8</f>
        <v>-48551.053740000003</v>
      </c>
      <c r="CD8" s="224">
        <f t="shared" si="2"/>
        <v>-64500.06715999986</v>
      </c>
      <c r="CE8" s="224">
        <f t="shared" si="3"/>
        <v>-39992.233760000032</v>
      </c>
      <c r="CF8" s="224">
        <v>0</v>
      </c>
      <c r="CG8" s="224">
        <v>0</v>
      </c>
      <c r="CH8" s="224">
        <f t="shared" ref="CH8:CH32" si="34">CG8-CF8</f>
        <v>0</v>
      </c>
      <c r="CI8" s="223">
        <v>0</v>
      </c>
      <c r="CJ8" s="223">
        <v>539741445.35000002</v>
      </c>
      <c r="CK8" s="223">
        <v>0</v>
      </c>
      <c r="CL8" s="223">
        <v>7039655.8300000001</v>
      </c>
      <c r="CM8" s="224">
        <f t="shared" ref="CM8:CM32" si="35">(CI8+CJ8+CK8+CL8)/1000</f>
        <v>546781.10118000011</v>
      </c>
      <c r="CN8" s="223">
        <v>0</v>
      </c>
      <c r="CO8" s="223">
        <v>273962593.13</v>
      </c>
      <c r="CP8" s="223">
        <v>0</v>
      </c>
      <c r="CQ8" s="223">
        <v>-10407218.98</v>
      </c>
      <c r="CR8" s="224">
        <f t="shared" ref="CR8:CR32" si="36">(CN8+CO8+CP8+CQ8)/1000</f>
        <v>263555.37414999999</v>
      </c>
      <c r="CS8" s="228">
        <f t="shared" si="4"/>
        <v>511876.70118000009</v>
      </c>
      <c r="CT8" s="228">
        <f t="shared" si="5"/>
        <v>246313.74896</v>
      </c>
      <c r="CU8" s="224">
        <f t="shared" ref="CU8:CU34" si="37">CT8/CS8%</f>
        <v>48.119742194201656</v>
      </c>
      <c r="CV8" s="223">
        <v>40131000</v>
      </c>
      <c r="CW8" s="224">
        <f t="shared" ref="CW8:CY32" si="38">CV8/1000</f>
        <v>40131</v>
      </c>
      <c r="CX8" s="223">
        <v>19328149.239999998</v>
      </c>
      <c r="CY8" s="224">
        <f t="shared" si="38"/>
        <v>19328.149239999999</v>
      </c>
      <c r="DA8" s="224">
        <f t="shared" ref="DA8:DA32" si="39">CZ8/1000</f>
        <v>0</v>
      </c>
      <c r="DC8" s="224">
        <f t="shared" ref="DC8:DC32" si="40">DB8/1000</f>
        <v>0</v>
      </c>
      <c r="DD8" s="224"/>
    </row>
    <row r="9" spans="1:108" x14ac:dyDescent="0.3">
      <c r="A9" s="222" t="s">
        <v>165</v>
      </c>
      <c r="B9" s="223">
        <v>0</v>
      </c>
      <c r="C9" s="223">
        <v>391040930.35000002</v>
      </c>
      <c r="D9" s="223">
        <v>0</v>
      </c>
      <c r="E9" s="223">
        <v>42238032</v>
      </c>
      <c r="F9" s="224">
        <f t="shared" si="6"/>
        <v>433278.96235000005</v>
      </c>
      <c r="G9" s="223">
        <v>0</v>
      </c>
      <c r="H9" s="223">
        <v>219102455.31</v>
      </c>
      <c r="I9" s="223">
        <v>0</v>
      </c>
      <c r="J9" s="223">
        <v>19677847.52</v>
      </c>
      <c r="K9" s="224">
        <f t="shared" si="7"/>
        <v>238780.30283</v>
      </c>
      <c r="L9" s="223">
        <v>31381407</v>
      </c>
      <c r="M9" s="223">
        <v>0</v>
      </c>
      <c r="N9" s="223">
        <v>8380800</v>
      </c>
      <c r="O9" s="224">
        <f t="shared" si="8"/>
        <v>39762.207000000002</v>
      </c>
      <c r="P9" s="223">
        <v>14160073.51</v>
      </c>
      <c r="Q9" s="223">
        <v>0</v>
      </c>
      <c r="R9" s="223">
        <v>4240900</v>
      </c>
      <c r="S9" s="224">
        <f t="shared" si="9"/>
        <v>18400.973509999996</v>
      </c>
      <c r="T9" s="223">
        <v>0</v>
      </c>
      <c r="U9" s="223">
        <v>400482746.35000002</v>
      </c>
      <c r="V9" s="223">
        <v>0</v>
      </c>
      <c r="W9" s="223">
        <v>44236088.829999998</v>
      </c>
      <c r="X9" s="224">
        <f t="shared" si="10"/>
        <v>444718.83517999999</v>
      </c>
      <c r="Y9" s="223">
        <v>0</v>
      </c>
      <c r="Z9" s="223">
        <v>221927983.78999999</v>
      </c>
      <c r="AA9" s="223">
        <v>0</v>
      </c>
      <c r="AB9" s="223">
        <v>19542070.25</v>
      </c>
      <c r="AC9" s="224">
        <f t="shared" si="11"/>
        <v>241470.05403999999</v>
      </c>
      <c r="AD9" s="224">
        <f t="shared" si="12"/>
        <v>393516.75535000005</v>
      </c>
      <c r="AE9" s="224">
        <f t="shared" si="13"/>
        <v>220379.32932000002</v>
      </c>
      <c r="AF9" s="224">
        <f t="shared" si="14"/>
        <v>56.002527547776495</v>
      </c>
      <c r="AG9" s="225">
        <v>393517</v>
      </c>
      <c r="AH9" s="225">
        <f t="shared" si="15"/>
        <v>0.24464999994961545</v>
      </c>
      <c r="AI9" s="225">
        <v>220379</v>
      </c>
      <c r="AJ9" s="225">
        <f t="shared" si="16"/>
        <v>-0.32932000001892447</v>
      </c>
      <c r="AK9" s="224">
        <f t="shared" si="0"/>
        <v>404956.62818</v>
      </c>
      <c r="AL9" s="224">
        <f t="shared" si="17"/>
        <v>223069.08052999998</v>
      </c>
      <c r="AM9" s="224">
        <f t="shared" si="18"/>
        <v>55.08468438522447</v>
      </c>
      <c r="AN9" s="223">
        <v>0</v>
      </c>
      <c r="AO9" s="223">
        <v>328773878.35000002</v>
      </c>
      <c r="AP9" s="223">
        <v>0</v>
      </c>
      <c r="AQ9" s="223">
        <v>31381407</v>
      </c>
      <c r="AR9" s="226">
        <f t="shared" si="19"/>
        <v>0</v>
      </c>
      <c r="AS9" s="224">
        <f t="shared" si="20"/>
        <v>360155.28535000002</v>
      </c>
      <c r="AT9" s="223">
        <v>0</v>
      </c>
      <c r="AU9" s="223">
        <v>186127623.15000001</v>
      </c>
      <c r="AV9" s="223">
        <v>0</v>
      </c>
      <c r="AW9" s="223">
        <v>14160073.51</v>
      </c>
      <c r="AX9" s="226">
        <f t="shared" si="21"/>
        <v>0</v>
      </c>
      <c r="AY9" s="224">
        <f t="shared" si="22"/>
        <v>200287.69665999999</v>
      </c>
      <c r="AZ9" s="224">
        <f t="shared" si="23"/>
        <v>320393.07835000003</v>
      </c>
      <c r="BA9" s="224">
        <f t="shared" si="1"/>
        <v>181886.72314999998</v>
      </c>
      <c r="BB9" s="224">
        <f t="shared" si="24"/>
        <v>56.769866592219394</v>
      </c>
      <c r="BC9" s="223">
        <v>0</v>
      </c>
      <c r="BD9" s="223">
        <v>61817000</v>
      </c>
      <c r="BE9" s="223">
        <v>0</v>
      </c>
      <c r="BF9" s="223">
        <v>10887800</v>
      </c>
      <c r="BG9" s="224">
        <f t="shared" si="25"/>
        <v>72704.800000000003</v>
      </c>
      <c r="BH9" s="223">
        <v>0</v>
      </c>
      <c r="BI9" s="223">
        <v>32524780.16</v>
      </c>
      <c r="BJ9" s="223">
        <v>0</v>
      </c>
      <c r="BK9" s="223">
        <v>5548949.0099999998</v>
      </c>
      <c r="BL9" s="224">
        <f t="shared" si="26"/>
        <v>38073.729169999999</v>
      </c>
      <c r="BM9" s="227"/>
      <c r="BN9" s="227"/>
      <c r="BO9" s="227"/>
      <c r="BP9" s="224">
        <f t="shared" si="27"/>
        <v>0</v>
      </c>
      <c r="BQ9" s="227"/>
      <c r="BR9" s="227"/>
      <c r="BS9" s="227"/>
      <c r="BT9" s="224">
        <f t="shared" si="28"/>
        <v>0</v>
      </c>
      <c r="BU9" s="224" t="e">
        <f t="shared" si="29"/>
        <v>#DIV/0!</v>
      </c>
      <c r="BV9" s="224">
        <v>10727.61341</v>
      </c>
      <c r="BW9" s="224">
        <v>4632.1909999999998</v>
      </c>
      <c r="BX9" s="227">
        <v>18673356.489999998</v>
      </c>
      <c r="BY9" s="224">
        <f t="shared" si="30"/>
        <v>18673.356489999998</v>
      </c>
      <c r="BZ9" s="227">
        <v>1983043.86</v>
      </c>
      <c r="CA9" s="224">
        <f t="shared" si="31"/>
        <v>1983.04386</v>
      </c>
      <c r="CB9" s="224">
        <f t="shared" si="32"/>
        <v>7945.7430799999984</v>
      </c>
      <c r="CC9" s="224">
        <f t="shared" si="33"/>
        <v>-2649.14714</v>
      </c>
      <c r="CD9" s="224">
        <f t="shared" si="2"/>
        <v>-11439.872829999949</v>
      </c>
      <c r="CE9" s="224">
        <f t="shared" si="3"/>
        <v>-2689.7512099999585</v>
      </c>
      <c r="CF9" s="224">
        <v>0</v>
      </c>
      <c r="CG9" s="224">
        <v>0</v>
      </c>
      <c r="CH9" s="224">
        <f t="shared" si="34"/>
        <v>0</v>
      </c>
      <c r="CI9" s="223">
        <v>0</v>
      </c>
      <c r="CJ9" s="223">
        <v>329223930.35000002</v>
      </c>
      <c r="CK9" s="223">
        <v>0</v>
      </c>
      <c r="CL9" s="223">
        <v>31350232</v>
      </c>
      <c r="CM9" s="224">
        <f t="shared" si="35"/>
        <v>360574.16235</v>
      </c>
      <c r="CN9" s="223">
        <v>0</v>
      </c>
      <c r="CO9" s="223">
        <v>186577675.15000001</v>
      </c>
      <c r="CP9" s="223">
        <v>0</v>
      </c>
      <c r="CQ9" s="223">
        <v>14128898.51</v>
      </c>
      <c r="CR9" s="224">
        <f t="shared" si="36"/>
        <v>200706.57365999999</v>
      </c>
      <c r="CS9" s="228">
        <f t="shared" si="4"/>
        <v>320811.95535</v>
      </c>
      <c r="CT9" s="228">
        <f t="shared" si="5"/>
        <v>182305.60015000001</v>
      </c>
      <c r="CU9" s="224">
        <f t="shared" si="37"/>
        <v>56.826311211222759</v>
      </c>
      <c r="CV9" s="223">
        <v>36272000</v>
      </c>
      <c r="CW9" s="224">
        <f t="shared" si="38"/>
        <v>36272</v>
      </c>
      <c r="CX9" s="223">
        <v>20673199.239999998</v>
      </c>
      <c r="CY9" s="224">
        <f t="shared" si="38"/>
        <v>20673.199239999998</v>
      </c>
      <c r="DA9" s="224">
        <f t="shared" si="39"/>
        <v>0</v>
      </c>
      <c r="DC9" s="224">
        <f t="shared" si="40"/>
        <v>0</v>
      </c>
      <c r="DD9" s="229" t="e">
        <f t="shared" ref="DD9:DD30" si="41">DC9/DA9%</f>
        <v>#DIV/0!</v>
      </c>
    </row>
    <row r="10" spans="1:108" x14ac:dyDescent="0.3">
      <c r="A10" s="222" t="s">
        <v>166</v>
      </c>
      <c r="B10" s="223">
        <v>0</v>
      </c>
      <c r="C10" s="223">
        <v>539639771.52999997</v>
      </c>
      <c r="D10" s="223">
        <v>27384438.809999999</v>
      </c>
      <c r="E10" s="223">
        <v>42691199.979999997</v>
      </c>
      <c r="F10" s="224">
        <f t="shared" si="6"/>
        <v>609715.41031999991</v>
      </c>
      <c r="G10" s="223">
        <v>0</v>
      </c>
      <c r="H10" s="223">
        <v>317191076.39999998</v>
      </c>
      <c r="I10" s="223">
        <v>9968744.7300000004</v>
      </c>
      <c r="J10" s="223">
        <v>20097580.960000001</v>
      </c>
      <c r="K10" s="224">
        <f t="shared" si="7"/>
        <v>347257.40208999999</v>
      </c>
      <c r="L10" s="223">
        <v>38186668.670000002</v>
      </c>
      <c r="M10" s="223">
        <v>203400</v>
      </c>
      <c r="N10" s="223">
        <v>0</v>
      </c>
      <c r="O10" s="224">
        <f t="shared" si="8"/>
        <v>38390.068670000001</v>
      </c>
      <c r="P10" s="223">
        <v>18894247.359999999</v>
      </c>
      <c r="Q10" s="223">
        <v>0</v>
      </c>
      <c r="R10" s="223">
        <v>0</v>
      </c>
      <c r="S10" s="224">
        <f t="shared" si="9"/>
        <v>18894.247360000001</v>
      </c>
      <c r="T10" s="223">
        <v>0</v>
      </c>
      <c r="U10" s="223">
        <v>543136376.26999998</v>
      </c>
      <c r="V10" s="223">
        <v>27438861</v>
      </c>
      <c r="W10" s="223">
        <v>44921968.25</v>
      </c>
      <c r="X10" s="224">
        <f t="shared" si="10"/>
        <v>615497.20551999996</v>
      </c>
      <c r="Y10" s="223">
        <v>0</v>
      </c>
      <c r="Z10" s="223">
        <v>326790011.17000002</v>
      </c>
      <c r="AA10" s="223">
        <v>10149536.33</v>
      </c>
      <c r="AB10" s="223">
        <v>19998896.77</v>
      </c>
      <c r="AC10" s="224">
        <f t="shared" si="11"/>
        <v>356938.44426999998</v>
      </c>
      <c r="AD10" s="224">
        <f t="shared" si="12"/>
        <v>571325.34164999996</v>
      </c>
      <c r="AE10" s="224">
        <f t="shared" si="13"/>
        <v>328363.15473000001</v>
      </c>
      <c r="AF10" s="224">
        <f t="shared" si="14"/>
        <v>57.473934865497142</v>
      </c>
      <c r="AG10" s="225">
        <v>571375</v>
      </c>
      <c r="AH10" s="225">
        <f t="shared" si="15"/>
        <v>49.658350000041537</v>
      </c>
      <c r="AI10" s="225">
        <v>328363</v>
      </c>
      <c r="AJ10" s="225">
        <f t="shared" si="16"/>
        <v>-0.1547300000092946</v>
      </c>
      <c r="AK10" s="224">
        <f t="shared" si="0"/>
        <v>577107.13685000001</v>
      </c>
      <c r="AL10" s="224">
        <f t="shared" si="17"/>
        <v>338044.19691</v>
      </c>
      <c r="AM10" s="224">
        <f t="shared" si="18"/>
        <v>58.575639655945452</v>
      </c>
      <c r="AN10" s="223">
        <v>0</v>
      </c>
      <c r="AO10" s="223">
        <v>467126554</v>
      </c>
      <c r="AP10" s="223">
        <v>2582961</v>
      </c>
      <c r="AQ10" s="223">
        <v>35553707.670000002</v>
      </c>
      <c r="AR10" s="226">
        <f t="shared" si="19"/>
        <v>50000</v>
      </c>
      <c r="AS10" s="224">
        <f t="shared" si="20"/>
        <v>505263.22266999999</v>
      </c>
      <c r="AT10" s="223">
        <v>0</v>
      </c>
      <c r="AU10" s="223">
        <v>282398263.39999998</v>
      </c>
      <c r="AV10" s="223">
        <v>1626720.1</v>
      </c>
      <c r="AW10" s="223">
        <v>17267527.260000002</v>
      </c>
      <c r="AX10" s="226">
        <f t="shared" si="21"/>
        <v>0</v>
      </c>
      <c r="AY10" s="224">
        <f t="shared" si="22"/>
        <v>301292.51075999998</v>
      </c>
      <c r="AZ10" s="224">
        <f t="shared" si="23"/>
        <v>466873.15399999998</v>
      </c>
      <c r="BA10" s="224">
        <f t="shared" si="1"/>
        <v>282398.2634</v>
      </c>
      <c r="BB10" s="224">
        <f t="shared" si="24"/>
        <v>60.487149663782127</v>
      </c>
      <c r="BC10" s="223">
        <v>0</v>
      </c>
      <c r="BD10" s="223">
        <v>72966900</v>
      </c>
      <c r="BE10" s="223">
        <v>25153000</v>
      </c>
      <c r="BF10" s="223">
        <v>7142961.3099999996</v>
      </c>
      <c r="BG10" s="224">
        <f t="shared" si="25"/>
        <v>105262.86131000001</v>
      </c>
      <c r="BH10" s="223">
        <v>0</v>
      </c>
      <c r="BI10" s="223">
        <v>35246495.469999999</v>
      </c>
      <c r="BJ10" s="223">
        <v>8693546.8200000003</v>
      </c>
      <c r="BK10" s="223">
        <v>2835522.7</v>
      </c>
      <c r="BL10" s="224">
        <f t="shared" si="26"/>
        <v>46775.564989999999</v>
      </c>
      <c r="BM10" s="227"/>
      <c r="BN10" s="227"/>
      <c r="BO10" s="227"/>
      <c r="BP10" s="224">
        <f t="shared" si="27"/>
        <v>0</v>
      </c>
      <c r="BQ10" s="227"/>
      <c r="BR10" s="227"/>
      <c r="BS10" s="227"/>
      <c r="BT10" s="224">
        <f t="shared" si="28"/>
        <v>0</v>
      </c>
      <c r="BU10" s="224" t="e">
        <f t="shared" si="29"/>
        <v>#DIV/0!</v>
      </c>
      <c r="BV10" s="224">
        <v>6582.2419800000007</v>
      </c>
      <c r="BW10" s="224">
        <v>731.99118999999996</v>
      </c>
      <c r="BX10" s="227">
        <v>39218488.530000001</v>
      </c>
      <c r="BY10" s="224">
        <f t="shared" si="30"/>
        <v>39218.488530000002</v>
      </c>
      <c r="BZ10" s="227">
        <v>1523928.21</v>
      </c>
      <c r="CA10" s="224">
        <f t="shared" si="31"/>
        <v>1523.92821</v>
      </c>
      <c r="CB10" s="224">
        <f t="shared" si="32"/>
        <v>32636.246550000003</v>
      </c>
      <c r="CC10" s="224">
        <f t="shared" si="33"/>
        <v>791.93702000000008</v>
      </c>
      <c r="CD10" s="224">
        <f t="shared" si="2"/>
        <v>-5781.7952000000514</v>
      </c>
      <c r="CE10" s="224">
        <f t="shared" si="3"/>
        <v>-9681.0421799999895</v>
      </c>
      <c r="CF10" s="224">
        <v>0</v>
      </c>
      <c r="CG10" s="224">
        <v>0</v>
      </c>
      <c r="CH10" s="224">
        <f t="shared" si="34"/>
        <v>0</v>
      </c>
      <c r="CI10" s="223">
        <v>0</v>
      </c>
      <c r="CJ10" s="223">
        <v>466672871.52999997</v>
      </c>
      <c r="CK10" s="223">
        <v>2231438.81</v>
      </c>
      <c r="CL10" s="223">
        <v>35548238.670000002</v>
      </c>
      <c r="CM10" s="224">
        <f t="shared" si="35"/>
        <v>504452.54901000002</v>
      </c>
      <c r="CN10" s="223">
        <v>0</v>
      </c>
      <c r="CO10" s="223">
        <v>281944580.93000001</v>
      </c>
      <c r="CP10" s="223">
        <v>1275197.9099999999</v>
      </c>
      <c r="CQ10" s="223">
        <v>17262058.260000002</v>
      </c>
      <c r="CR10" s="224">
        <f t="shared" si="36"/>
        <v>300481.8371</v>
      </c>
      <c r="CS10" s="228">
        <f t="shared" si="4"/>
        <v>466062.48034000001</v>
      </c>
      <c r="CT10" s="228">
        <f t="shared" si="5"/>
        <v>281587.58974000002</v>
      </c>
      <c r="CU10" s="224">
        <f t="shared" si="37"/>
        <v>60.418420623470354</v>
      </c>
      <c r="CV10" s="223">
        <v>49103000</v>
      </c>
      <c r="CW10" s="224">
        <f t="shared" si="38"/>
        <v>49103</v>
      </c>
      <c r="CX10" s="223">
        <v>22494456.550000001</v>
      </c>
      <c r="CY10" s="224">
        <f t="shared" si="38"/>
        <v>22494.456549999999</v>
      </c>
      <c r="DA10" s="224">
        <f t="shared" si="39"/>
        <v>0</v>
      </c>
      <c r="DC10" s="224">
        <f t="shared" si="40"/>
        <v>0</v>
      </c>
      <c r="DD10" s="229" t="e">
        <f t="shared" si="41"/>
        <v>#DIV/0!</v>
      </c>
    </row>
    <row r="11" spans="1:108" x14ac:dyDescent="0.3">
      <c r="A11" s="222" t="s">
        <v>167</v>
      </c>
      <c r="B11" s="223">
        <v>0</v>
      </c>
      <c r="C11" s="223">
        <v>609662462.10000002</v>
      </c>
      <c r="D11" s="223">
        <v>66138706.289999999</v>
      </c>
      <c r="E11" s="223">
        <v>6763604.4400000004</v>
      </c>
      <c r="F11" s="224">
        <f t="shared" si="6"/>
        <v>682564.77283000003</v>
      </c>
      <c r="G11" s="223">
        <v>0</v>
      </c>
      <c r="H11" s="223">
        <v>291096719.25999999</v>
      </c>
      <c r="I11" s="223">
        <v>37936139.140000001</v>
      </c>
      <c r="J11" s="223">
        <v>-436546.9</v>
      </c>
      <c r="K11" s="224">
        <f t="shared" si="7"/>
        <v>328596.31150000001</v>
      </c>
      <c r="L11" s="223">
        <v>45036176.259999998</v>
      </c>
      <c r="M11" s="223">
        <v>0</v>
      </c>
      <c r="N11" s="223">
        <v>3185951.53</v>
      </c>
      <c r="O11" s="224">
        <f t="shared" si="8"/>
        <v>48222.127789999999</v>
      </c>
      <c r="P11" s="223">
        <v>31220675.009999998</v>
      </c>
      <c r="Q11" s="223">
        <v>0</v>
      </c>
      <c r="R11" s="223">
        <v>2759876.4</v>
      </c>
      <c r="S11" s="224">
        <f t="shared" si="9"/>
        <v>33980.55141</v>
      </c>
      <c r="T11" s="223">
        <v>0</v>
      </c>
      <c r="U11" s="223">
        <v>630084128.44000006</v>
      </c>
      <c r="V11" s="223">
        <v>67240519.709999993</v>
      </c>
      <c r="W11" s="223">
        <v>17188364.859999999</v>
      </c>
      <c r="X11" s="224">
        <f t="shared" si="10"/>
        <v>714513.01301000011</v>
      </c>
      <c r="Y11" s="223">
        <v>0</v>
      </c>
      <c r="Z11" s="223">
        <v>312546705.12</v>
      </c>
      <c r="AA11" s="223">
        <v>37703548.5</v>
      </c>
      <c r="AB11" s="223">
        <v>9323999.2599999998</v>
      </c>
      <c r="AC11" s="224">
        <f t="shared" si="11"/>
        <v>359574.25287999999</v>
      </c>
      <c r="AD11" s="224">
        <f>F11-O11</f>
        <v>634342.64504000009</v>
      </c>
      <c r="AE11" s="224">
        <f t="shared" si="13"/>
        <v>294615.76009</v>
      </c>
      <c r="AF11" s="229">
        <f t="shared" si="14"/>
        <v>46.444262007865206</v>
      </c>
      <c r="AG11" s="230">
        <v>634343</v>
      </c>
      <c r="AH11" s="225">
        <f t="shared" si="15"/>
        <v>0.35495999990962446</v>
      </c>
      <c r="AI11" s="230">
        <v>294616</v>
      </c>
      <c r="AJ11" s="225">
        <f t="shared" si="16"/>
        <v>0.2399100000038743</v>
      </c>
      <c r="AK11" s="224">
        <f t="shared" si="0"/>
        <v>666290.88522000005</v>
      </c>
      <c r="AL11" s="224">
        <f t="shared" si="17"/>
        <v>325593.70146999997</v>
      </c>
      <c r="AM11" s="224">
        <f t="shared" si="18"/>
        <v>48.866599962941628</v>
      </c>
      <c r="AN11" s="223">
        <v>0</v>
      </c>
      <c r="AO11" s="223">
        <v>528317338.35000002</v>
      </c>
      <c r="AP11" s="223">
        <v>39278732.259999998</v>
      </c>
      <c r="AQ11" s="223">
        <v>5757444</v>
      </c>
      <c r="AR11" s="226">
        <f t="shared" si="19"/>
        <v>0</v>
      </c>
      <c r="AS11" s="224">
        <f t="shared" si="20"/>
        <v>573353.51461000007</v>
      </c>
      <c r="AT11" s="223">
        <v>0</v>
      </c>
      <c r="AU11" s="223">
        <v>257081760.30000001</v>
      </c>
      <c r="AV11" s="223">
        <v>27707631.010000002</v>
      </c>
      <c r="AW11" s="223">
        <v>3513044</v>
      </c>
      <c r="AX11" s="226">
        <f t="shared" si="21"/>
        <v>-3.7252902984619141E-9</v>
      </c>
      <c r="AY11" s="224">
        <f t="shared" si="22"/>
        <v>288302.43531000003</v>
      </c>
      <c r="AZ11" s="224">
        <f t="shared" si="23"/>
        <v>525131.38682000013</v>
      </c>
      <c r="BA11" s="224">
        <f t="shared" si="1"/>
        <v>254321.88390000002</v>
      </c>
      <c r="BB11" s="224">
        <f t="shared" si="24"/>
        <v>48.430143442782672</v>
      </c>
      <c r="BC11" s="223">
        <v>0</v>
      </c>
      <c r="BD11" s="223">
        <v>91823849</v>
      </c>
      <c r="BE11" s="223">
        <v>26586000</v>
      </c>
      <c r="BF11" s="223">
        <v>6793000</v>
      </c>
      <c r="BG11" s="224">
        <f t="shared" si="25"/>
        <v>125202.849</v>
      </c>
      <c r="BH11" s="223">
        <v>0</v>
      </c>
      <c r="BI11" s="223">
        <v>43623684.210000001</v>
      </c>
      <c r="BJ11" s="223">
        <v>9954534.0999999996</v>
      </c>
      <c r="BK11" s="223">
        <v>1831198.66</v>
      </c>
      <c r="BL11" s="224">
        <f t="shared" si="26"/>
        <v>55409.416969999998</v>
      </c>
      <c r="BM11" s="227"/>
      <c r="BN11" s="227"/>
      <c r="BO11" s="227"/>
      <c r="BP11" s="224">
        <f t="shared" si="27"/>
        <v>0</v>
      </c>
      <c r="BQ11" s="227"/>
      <c r="BR11" s="227"/>
      <c r="BS11" s="227"/>
      <c r="BT11" s="224">
        <f t="shared" si="28"/>
        <v>0</v>
      </c>
      <c r="BU11" s="224" t="e">
        <f t="shared" si="29"/>
        <v>#DIV/0!</v>
      </c>
      <c r="BV11" s="224">
        <v>33047.307339999999</v>
      </c>
      <c r="BW11" s="224">
        <v>23851.66359</v>
      </c>
      <c r="BX11" s="227">
        <v>8231016.5899999999</v>
      </c>
      <c r="BY11" s="224">
        <f t="shared" si="30"/>
        <v>8231.0165899999993</v>
      </c>
      <c r="BZ11" s="227">
        <v>1077236.58</v>
      </c>
      <c r="CA11" s="224">
        <f t="shared" si="31"/>
        <v>1077.23658</v>
      </c>
      <c r="CB11" s="224">
        <f t="shared" si="32"/>
        <v>-24816.29075</v>
      </c>
      <c r="CC11" s="224">
        <f t="shared" si="33"/>
        <v>-22774.427009999999</v>
      </c>
      <c r="CD11" s="224">
        <f t="shared" si="2"/>
        <v>-31948.240179999964</v>
      </c>
      <c r="CE11" s="224">
        <f t="shared" si="3"/>
        <v>-30977.941379999975</v>
      </c>
      <c r="CF11" s="224">
        <v>4000</v>
      </c>
      <c r="CG11" s="224">
        <v>2300</v>
      </c>
      <c r="CH11" s="224">
        <f t="shared" si="34"/>
        <v>-1700</v>
      </c>
      <c r="CI11" s="223">
        <v>0</v>
      </c>
      <c r="CJ11" s="223">
        <v>517838613.10000002</v>
      </c>
      <c r="CK11" s="223">
        <v>39552706.289999999</v>
      </c>
      <c r="CL11" s="223">
        <v>-29395.56</v>
      </c>
      <c r="CM11" s="224">
        <f t="shared" si="35"/>
        <v>557361.92382999999</v>
      </c>
      <c r="CN11" s="223">
        <v>0</v>
      </c>
      <c r="CO11" s="223">
        <v>247473035.05000001</v>
      </c>
      <c r="CP11" s="223">
        <v>27981605.039999999</v>
      </c>
      <c r="CQ11" s="223">
        <v>-2267745.56</v>
      </c>
      <c r="CR11" s="224">
        <f t="shared" si="36"/>
        <v>273186.89453000005</v>
      </c>
      <c r="CS11" s="228">
        <f t="shared" si="4"/>
        <v>509139.79603999999</v>
      </c>
      <c r="CT11" s="228">
        <f t="shared" si="5"/>
        <v>239206.34312000003</v>
      </c>
      <c r="CU11" s="229">
        <f t="shared" si="37"/>
        <v>46.982448628157734</v>
      </c>
      <c r="CV11" s="223">
        <v>51854000</v>
      </c>
      <c r="CW11" s="224">
        <f t="shared" si="38"/>
        <v>51854</v>
      </c>
      <c r="CX11" s="223">
        <v>24352361.690000001</v>
      </c>
      <c r="CY11" s="224">
        <f t="shared" si="38"/>
        <v>24352.361690000002</v>
      </c>
      <c r="DA11" s="224">
        <f t="shared" si="39"/>
        <v>0</v>
      </c>
      <c r="DC11" s="224">
        <f t="shared" si="40"/>
        <v>0</v>
      </c>
      <c r="DD11" s="224" t="e">
        <f t="shared" si="41"/>
        <v>#DIV/0!</v>
      </c>
    </row>
    <row r="12" spans="1:108" x14ac:dyDescent="0.3">
      <c r="A12" s="222" t="s">
        <v>168</v>
      </c>
      <c r="B12" s="223">
        <v>0</v>
      </c>
      <c r="C12" s="223">
        <v>708533530.63</v>
      </c>
      <c r="D12" s="223">
        <v>-162473964.50999999</v>
      </c>
      <c r="E12" s="223">
        <v>33485033.489999998</v>
      </c>
      <c r="F12" s="224">
        <f t="shared" si="6"/>
        <v>579544.59961000003</v>
      </c>
      <c r="G12" s="223">
        <v>0</v>
      </c>
      <c r="H12" s="223">
        <v>368872447.95999998</v>
      </c>
      <c r="I12" s="223">
        <v>-187555289.5</v>
      </c>
      <c r="J12" s="223">
        <v>14324013.26</v>
      </c>
      <c r="K12" s="224">
        <f t="shared" si="7"/>
        <v>195641.17171999995</v>
      </c>
      <c r="L12" s="223">
        <v>110603527.06</v>
      </c>
      <c r="M12" s="223">
        <v>0</v>
      </c>
      <c r="N12" s="223">
        <v>0</v>
      </c>
      <c r="O12" s="224">
        <f t="shared" si="8"/>
        <v>110603.52706000001</v>
      </c>
      <c r="P12" s="223">
        <v>92146644.590000004</v>
      </c>
      <c r="Q12" s="223">
        <v>0</v>
      </c>
      <c r="R12" s="223">
        <v>0</v>
      </c>
      <c r="S12" s="224">
        <f t="shared" si="9"/>
        <v>92146.644590000011</v>
      </c>
      <c r="T12" s="223">
        <v>0</v>
      </c>
      <c r="U12" s="223">
        <v>734390668.29999995</v>
      </c>
      <c r="V12" s="223">
        <v>175789558.74000001</v>
      </c>
      <c r="W12" s="223">
        <v>47182703.289999999</v>
      </c>
      <c r="X12" s="224">
        <f t="shared" si="10"/>
        <v>957362.93032999989</v>
      </c>
      <c r="Y12" s="223">
        <v>0</v>
      </c>
      <c r="Z12" s="223">
        <v>378456418.50999999</v>
      </c>
      <c r="AA12" s="223">
        <v>143278117.53999999</v>
      </c>
      <c r="AB12" s="223">
        <v>25147204.100000001</v>
      </c>
      <c r="AC12" s="224">
        <f t="shared" si="11"/>
        <v>546881.74014999997</v>
      </c>
      <c r="AD12" s="224">
        <f t="shared" si="12"/>
        <v>468941.07255000004</v>
      </c>
      <c r="AE12" s="224">
        <f t="shared" si="13"/>
        <v>103494.52712999994</v>
      </c>
      <c r="AF12" s="224">
        <f t="shared" si="14"/>
        <v>22.069836315940318</v>
      </c>
      <c r="AG12" s="225">
        <v>468941</v>
      </c>
      <c r="AH12" s="225">
        <f t="shared" si="15"/>
        <v>-7.2550000040791929E-2</v>
      </c>
      <c r="AI12" s="225">
        <v>103495</v>
      </c>
      <c r="AJ12" s="225">
        <f t="shared" si="16"/>
        <v>0.47287000005599111</v>
      </c>
      <c r="AK12" s="224">
        <f t="shared" si="0"/>
        <v>846759.40326999989</v>
      </c>
      <c r="AL12" s="224">
        <f t="shared" si="17"/>
        <v>454735.09555999993</v>
      </c>
      <c r="AM12" s="224">
        <f t="shared" si="18"/>
        <v>53.702987389796</v>
      </c>
      <c r="AN12" s="223">
        <v>0</v>
      </c>
      <c r="AO12" s="223">
        <v>615134806.47000003</v>
      </c>
      <c r="AP12" s="223">
        <v>80564671.670000002</v>
      </c>
      <c r="AQ12" s="223">
        <v>30038855.390000001</v>
      </c>
      <c r="AR12" s="226">
        <f t="shared" si="19"/>
        <v>0</v>
      </c>
      <c r="AS12" s="224">
        <f t="shared" si="20"/>
        <v>725738.33352999995</v>
      </c>
      <c r="AT12" s="223">
        <v>0</v>
      </c>
      <c r="AU12" s="223">
        <v>335621452.74000001</v>
      </c>
      <c r="AV12" s="223">
        <v>74245566.450000003</v>
      </c>
      <c r="AW12" s="223">
        <v>17901078.140000001</v>
      </c>
      <c r="AX12" s="226">
        <f t="shared" si="21"/>
        <v>0</v>
      </c>
      <c r="AY12" s="224">
        <f t="shared" si="22"/>
        <v>427768.09732999996</v>
      </c>
      <c r="AZ12" s="224">
        <f t="shared" si="23"/>
        <v>615134.80646999995</v>
      </c>
      <c r="BA12" s="224">
        <f t="shared" si="1"/>
        <v>335621.45273999998</v>
      </c>
      <c r="BB12" s="224">
        <f t="shared" si="24"/>
        <v>54.560634386142183</v>
      </c>
      <c r="BC12" s="223">
        <v>0</v>
      </c>
      <c r="BD12" s="223">
        <v>107917000</v>
      </c>
      <c r="BE12" s="223">
        <v>32062000</v>
      </c>
      <c r="BF12" s="223">
        <v>12130000</v>
      </c>
      <c r="BG12" s="224">
        <f t="shared" si="25"/>
        <v>152109</v>
      </c>
      <c r="BH12" s="223">
        <v>0</v>
      </c>
      <c r="BI12" s="223">
        <v>47769271.060000002</v>
      </c>
      <c r="BJ12" s="223">
        <v>13299780.23</v>
      </c>
      <c r="BK12" s="223">
        <v>5106757.0199999996</v>
      </c>
      <c r="BL12" s="224">
        <f t="shared" si="26"/>
        <v>66175.808310000008</v>
      </c>
      <c r="BM12" s="227"/>
      <c r="BN12" s="227"/>
      <c r="BO12" s="227"/>
      <c r="BP12" s="224">
        <f t="shared" si="27"/>
        <v>0</v>
      </c>
      <c r="BQ12" s="227"/>
      <c r="BR12" s="227"/>
      <c r="BS12" s="227"/>
      <c r="BT12" s="224">
        <f t="shared" si="28"/>
        <v>0</v>
      </c>
      <c r="BU12" s="224" t="e">
        <f t="shared" si="29"/>
        <v>#DIV/0!</v>
      </c>
      <c r="BV12" s="224">
        <v>381979.45551</v>
      </c>
      <c r="BW12" s="224">
        <v>361879.47941000003</v>
      </c>
      <c r="BX12" s="227">
        <v>34011993.350000001</v>
      </c>
      <c r="BY12" s="224">
        <f t="shared" si="30"/>
        <v>34011.993350000004</v>
      </c>
      <c r="BZ12" s="227">
        <v>2104135.88</v>
      </c>
      <c r="CA12" s="224">
        <f t="shared" si="31"/>
        <v>2104.1358799999998</v>
      </c>
      <c r="CB12" s="224">
        <f t="shared" si="32"/>
        <v>-347967.46216</v>
      </c>
      <c r="CC12" s="224">
        <f t="shared" si="33"/>
        <v>-359775.34353000001</v>
      </c>
      <c r="CD12" s="224">
        <f t="shared" si="2"/>
        <v>-377818.33071999985</v>
      </c>
      <c r="CE12" s="224">
        <f t="shared" si="3"/>
        <v>-351240.56842999998</v>
      </c>
      <c r="CF12" s="224">
        <v>10950</v>
      </c>
      <c r="CG12" s="224">
        <v>10950</v>
      </c>
      <c r="CH12" s="224">
        <f t="shared" si="34"/>
        <v>0</v>
      </c>
      <c r="CI12" s="223">
        <v>0</v>
      </c>
      <c r="CJ12" s="223">
        <v>600616530.63</v>
      </c>
      <c r="CK12" s="223">
        <v>-194535964.50999999</v>
      </c>
      <c r="CL12" s="223">
        <v>21355033.489999998</v>
      </c>
      <c r="CM12" s="224">
        <f t="shared" si="35"/>
        <v>427435.59961000003</v>
      </c>
      <c r="CN12" s="223">
        <v>0</v>
      </c>
      <c r="CO12" s="223">
        <v>321103176.89999998</v>
      </c>
      <c r="CP12" s="223">
        <v>-200855069.72999999</v>
      </c>
      <c r="CQ12" s="223">
        <v>9217256.2400000002</v>
      </c>
      <c r="CR12" s="224">
        <f t="shared" si="36"/>
        <v>129465.36340999998</v>
      </c>
      <c r="CS12" s="228">
        <f t="shared" si="4"/>
        <v>316832.07255000004</v>
      </c>
      <c r="CT12" s="228">
        <f t="shared" si="5"/>
        <v>37318.718819999965</v>
      </c>
      <c r="CU12" s="224">
        <f t="shared" si="37"/>
        <v>11.778706151698266</v>
      </c>
      <c r="CV12" s="223">
        <v>93184000</v>
      </c>
      <c r="CW12" s="224">
        <f t="shared" si="38"/>
        <v>93184</v>
      </c>
      <c r="CX12" s="223">
        <v>39210176.640000001</v>
      </c>
      <c r="CY12" s="224">
        <f t="shared" si="38"/>
        <v>39210.176639999998</v>
      </c>
      <c r="DA12" s="224">
        <f t="shared" si="39"/>
        <v>0</v>
      </c>
      <c r="DC12" s="224">
        <f t="shared" si="40"/>
        <v>0</v>
      </c>
      <c r="DD12" s="224"/>
    </row>
    <row r="13" spans="1:108" x14ac:dyDescent="0.3">
      <c r="A13" s="222" t="s">
        <v>169</v>
      </c>
      <c r="B13" s="223">
        <v>0</v>
      </c>
      <c r="C13" s="223">
        <v>487665440.39999998</v>
      </c>
      <c r="D13" s="223">
        <v>90438450.230000004</v>
      </c>
      <c r="E13" s="223">
        <v>31266809.600000001</v>
      </c>
      <c r="F13" s="224">
        <f t="shared" si="6"/>
        <v>609370.70023000007</v>
      </c>
      <c r="G13" s="223">
        <v>0</v>
      </c>
      <c r="H13" s="223">
        <v>238256267.78</v>
      </c>
      <c r="I13" s="223">
        <v>35854069.75</v>
      </c>
      <c r="J13" s="223">
        <v>5026174.83</v>
      </c>
      <c r="K13" s="224">
        <f t="shared" si="7"/>
        <v>279136.51235999994</v>
      </c>
      <c r="L13" s="223">
        <v>49596487.829999998</v>
      </c>
      <c r="M13" s="223">
        <v>0</v>
      </c>
      <c r="N13" s="223">
        <v>0</v>
      </c>
      <c r="O13" s="224">
        <f t="shared" si="8"/>
        <v>49596.487829999998</v>
      </c>
      <c r="P13" s="223">
        <v>11947934.33</v>
      </c>
      <c r="Q13" s="223">
        <v>0</v>
      </c>
      <c r="R13" s="223">
        <v>0</v>
      </c>
      <c r="S13" s="224">
        <f t="shared" si="9"/>
        <v>11947.93433</v>
      </c>
      <c r="T13" s="223">
        <v>0</v>
      </c>
      <c r="U13" s="223">
        <v>511800391.43000001</v>
      </c>
      <c r="V13" s="223">
        <v>97179629.310000002</v>
      </c>
      <c r="W13" s="223">
        <v>31643765.300000001</v>
      </c>
      <c r="X13" s="224">
        <f t="shared" si="10"/>
        <v>640623.78603999992</v>
      </c>
      <c r="Y13" s="223">
        <v>0</v>
      </c>
      <c r="Z13" s="223">
        <v>261648608.50999999</v>
      </c>
      <c r="AA13" s="223">
        <v>33512482.039999999</v>
      </c>
      <c r="AB13" s="223">
        <v>5025350.29</v>
      </c>
      <c r="AC13" s="224">
        <f t="shared" si="11"/>
        <v>300186.44084000005</v>
      </c>
      <c r="AD13" s="224">
        <f t="shared" si="12"/>
        <v>559774.21240000008</v>
      </c>
      <c r="AE13" s="224">
        <f t="shared" si="13"/>
        <v>267188.57802999992</v>
      </c>
      <c r="AF13" s="224">
        <f t="shared" si="14"/>
        <v>47.731491038939453</v>
      </c>
      <c r="AG13" s="225">
        <v>560030</v>
      </c>
      <c r="AH13" s="225">
        <f t="shared" si="15"/>
        <v>255.78759999992326</v>
      </c>
      <c r="AI13" s="225">
        <v>267189</v>
      </c>
      <c r="AJ13" s="225">
        <f t="shared" si="16"/>
        <v>0.4219700000830926</v>
      </c>
      <c r="AK13" s="224">
        <f t="shared" si="0"/>
        <v>591027.29820999992</v>
      </c>
      <c r="AL13" s="224">
        <f t="shared" si="17"/>
        <v>288238.50651000004</v>
      </c>
      <c r="AM13" s="224">
        <f t="shared" si="18"/>
        <v>48.769068261815718</v>
      </c>
      <c r="AN13" s="223">
        <v>0</v>
      </c>
      <c r="AO13" s="223">
        <v>386909659.50999999</v>
      </c>
      <c r="AP13" s="223">
        <v>23931450.23</v>
      </c>
      <c r="AQ13" s="223">
        <v>25409309.600000001</v>
      </c>
      <c r="AR13" s="226">
        <f t="shared" si="19"/>
        <v>255727.99999999627</v>
      </c>
      <c r="AS13" s="224">
        <f t="shared" si="20"/>
        <v>436250.41934000002</v>
      </c>
      <c r="AT13" s="223">
        <v>0</v>
      </c>
      <c r="AU13" s="223">
        <v>196973308.37</v>
      </c>
      <c r="AV13" s="223">
        <v>8286284.3300000001</v>
      </c>
      <c r="AW13" s="223">
        <v>3661650</v>
      </c>
      <c r="AX13" s="226">
        <f t="shared" si="21"/>
        <v>0</v>
      </c>
      <c r="AY13" s="224">
        <f t="shared" si="22"/>
        <v>208921.24270000003</v>
      </c>
      <c r="AZ13" s="224">
        <f t="shared" si="23"/>
        <v>386653.93151000002</v>
      </c>
      <c r="BA13" s="224">
        <f t="shared" si="1"/>
        <v>196973.30837000004</v>
      </c>
      <c r="BB13" s="224">
        <f t="shared" si="24"/>
        <v>50.94305070189251</v>
      </c>
      <c r="BC13" s="223">
        <v>0</v>
      </c>
      <c r="BD13" s="223">
        <v>110149000</v>
      </c>
      <c r="BE13" s="223">
        <v>66507000</v>
      </c>
      <c r="BF13" s="223">
        <v>6357500</v>
      </c>
      <c r="BG13" s="224">
        <f t="shared" si="25"/>
        <v>183013.5</v>
      </c>
      <c r="BH13" s="223">
        <v>0</v>
      </c>
      <c r="BI13" s="223">
        <v>50676178.520000003</v>
      </c>
      <c r="BJ13" s="223">
        <v>27247785.420000002</v>
      </c>
      <c r="BK13" s="223">
        <v>1427024.83</v>
      </c>
      <c r="BL13" s="224">
        <f t="shared" si="26"/>
        <v>79350.988769999996</v>
      </c>
      <c r="BM13" s="227"/>
      <c r="BN13" s="227"/>
      <c r="BO13" s="227"/>
      <c r="BP13" s="224">
        <f t="shared" si="27"/>
        <v>0</v>
      </c>
      <c r="BQ13" s="227"/>
      <c r="BR13" s="227"/>
      <c r="BS13" s="227"/>
      <c r="BT13" s="224">
        <f t="shared" si="28"/>
        <v>0</v>
      </c>
      <c r="BU13" s="224" t="e">
        <f t="shared" si="29"/>
        <v>#DIV/0!</v>
      </c>
      <c r="BV13" s="224">
        <v>15737.725960000002</v>
      </c>
      <c r="BW13" s="224">
        <v>9437.5511400000014</v>
      </c>
      <c r="BX13" s="227">
        <v>15512315.720000001</v>
      </c>
      <c r="BY13" s="224">
        <f t="shared" si="30"/>
        <v>15512.315720000001</v>
      </c>
      <c r="BZ13" s="227">
        <v>909808.55</v>
      </c>
      <c r="CA13" s="224">
        <f t="shared" si="31"/>
        <v>909.80855000000008</v>
      </c>
      <c r="CB13" s="224">
        <f t="shared" si="32"/>
        <v>-225.41024000000107</v>
      </c>
      <c r="CC13" s="224">
        <f t="shared" si="33"/>
        <v>-8527.7425900000017</v>
      </c>
      <c r="CD13" s="224">
        <f t="shared" si="2"/>
        <v>-31253.085809999844</v>
      </c>
      <c r="CE13" s="224">
        <f t="shared" si="3"/>
        <v>-21049.928480000119</v>
      </c>
      <c r="CF13" s="224">
        <v>30754.069829999997</v>
      </c>
      <c r="CG13" s="224">
        <v>33514.9</v>
      </c>
      <c r="CH13" s="224">
        <f t="shared" si="34"/>
        <v>2760.8301700000047</v>
      </c>
      <c r="CI13" s="223">
        <v>0</v>
      </c>
      <c r="CJ13" s="223">
        <v>377516440.39999998</v>
      </c>
      <c r="CK13" s="223">
        <v>23931450.23</v>
      </c>
      <c r="CL13" s="223">
        <v>24909309.600000001</v>
      </c>
      <c r="CM13" s="224">
        <f t="shared" si="35"/>
        <v>426357.20023000002</v>
      </c>
      <c r="CN13" s="223">
        <v>0</v>
      </c>
      <c r="CO13" s="223">
        <v>187580089.25999999</v>
      </c>
      <c r="CP13" s="223">
        <v>8606284.3300000001</v>
      </c>
      <c r="CQ13" s="223">
        <v>3599150</v>
      </c>
      <c r="CR13" s="224">
        <f t="shared" si="36"/>
        <v>199785.52359</v>
      </c>
      <c r="CS13" s="228">
        <f t="shared" si="4"/>
        <v>376760.71240000002</v>
      </c>
      <c r="CT13" s="228">
        <f t="shared" si="5"/>
        <v>187837.58926000001</v>
      </c>
      <c r="CU13" s="224">
        <f t="shared" si="37"/>
        <v>49.855938551410382</v>
      </c>
      <c r="CV13" s="223">
        <v>92447000</v>
      </c>
      <c r="CW13" s="224">
        <f t="shared" si="38"/>
        <v>92447</v>
      </c>
      <c r="CX13" s="223">
        <v>49117921.07</v>
      </c>
      <c r="CY13" s="224">
        <f t="shared" si="38"/>
        <v>49117.921069999997</v>
      </c>
      <c r="DA13" s="224">
        <f t="shared" si="39"/>
        <v>0</v>
      </c>
      <c r="DC13" s="224">
        <f t="shared" si="40"/>
        <v>0</v>
      </c>
      <c r="DD13" s="224" t="e">
        <f t="shared" si="41"/>
        <v>#DIV/0!</v>
      </c>
    </row>
    <row r="14" spans="1:108" x14ac:dyDescent="0.3">
      <c r="A14" s="222" t="s">
        <v>170</v>
      </c>
      <c r="B14" s="223">
        <v>0</v>
      </c>
      <c r="C14" s="223">
        <v>476436422.81</v>
      </c>
      <c r="D14" s="223">
        <v>0</v>
      </c>
      <c r="E14" s="223">
        <v>62449367.859999999</v>
      </c>
      <c r="F14" s="224">
        <f t="shared" si="6"/>
        <v>538885.7906699999</v>
      </c>
      <c r="G14" s="223">
        <v>0</v>
      </c>
      <c r="H14" s="223">
        <v>247209410.34</v>
      </c>
      <c r="I14" s="223">
        <v>0</v>
      </c>
      <c r="J14" s="223">
        <v>21579655.530000001</v>
      </c>
      <c r="K14" s="224">
        <f t="shared" si="7"/>
        <v>268789.06586999999</v>
      </c>
      <c r="L14" s="223">
        <v>44641391.57</v>
      </c>
      <c r="M14" s="223">
        <v>0</v>
      </c>
      <c r="N14" s="223">
        <v>638523.81000000006</v>
      </c>
      <c r="O14" s="224">
        <f t="shared" si="8"/>
        <v>45279.915380000006</v>
      </c>
      <c r="P14" s="223">
        <v>16314464.390000001</v>
      </c>
      <c r="Q14" s="223">
        <v>0</v>
      </c>
      <c r="R14" s="223">
        <v>214225.06</v>
      </c>
      <c r="S14" s="224">
        <f t="shared" si="9"/>
        <v>16528.689450000002</v>
      </c>
      <c r="T14" s="223">
        <v>0</v>
      </c>
      <c r="U14" s="223">
        <v>481857575.82999998</v>
      </c>
      <c r="V14" s="223">
        <v>0</v>
      </c>
      <c r="W14" s="223">
        <v>64967185.189999998</v>
      </c>
      <c r="X14" s="224">
        <f t="shared" si="10"/>
        <v>546824.76101999998</v>
      </c>
      <c r="Y14" s="223">
        <v>0</v>
      </c>
      <c r="Z14" s="223">
        <v>246881158.90000001</v>
      </c>
      <c r="AA14" s="223">
        <v>0</v>
      </c>
      <c r="AB14" s="223">
        <v>21997292.079999998</v>
      </c>
      <c r="AC14" s="224">
        <f t="shared" si="11"/>
        <v>268878.45098000002</v>
      </c>
      <c r="AD14" s="224">
        <f t="shared" si="12"/>
        <v>493605.87528999988</v>
      </c>
      <c r="AE14" s="224">
        <f t="shared" si="13"/>
        <v>252260.37641999999</v>
      </c>
      <c r="AF14" s="224">
        <f t="shared" si="14"/>
        <v>51.105626786106171</v>
      </c>
      <c r="AG14" s="225">
        <v>493981</v>
      </c>
      <c r="AH14" s="225">
        <f t="shared" si="15"/>
        <v>375.1247100001201</v>
      </c>
      <c r="AI14" s="225">
        <v>252260</v>
      </c>
      <c r="AJ14" s="225">
        <f t="shared" si="16"/>
        <v>-0.37641999998595566</v>
      </c>
      <c r="AK14" s="224">
        <f t="shared" si="0"/>
        <v>501544.84563999996</v>
      </c>
      <c r="AL14" s="224">
        <f t="shared" si="17"/>
        <v>252349.76153000002</v>
      </c>
      <c r="AM14" s="224">
        <f t="shared" si="18"/>
        <v>50.314496046308136</v>
      </c>
      <c r="AN14" s="223">
        <v>0</v>
      </c>
      <c r="AO14" s="223">
        <v>400998071.81</v>
      </c>
      <c r="AP14" s="223">
        <v>0</v>
      </c>
      <c r="AQ14" s="223">
        <v>44265900.899999999</v>
      </c>
      <c r="AR14" s="226">
        <f t="shared" si="19"/>
        <v>375490.67000000179</v>
      </c>
      <c r="AS14" s="224">
        <f t="shared" si="20"/>
        <v>445263.97271</v>
      </c>
      <c r="AT14" s="223">
        <v>0</v>
      </c>
      <c r="AU14" s="223">
        <v>211602604.94999999</v>
      </c>
      <c r="AV14" s="223">
        <v>0</v>
      </c>
      <c r="AW14" s="223">
        <v>16314464.390000001</v>
      </c>
      <c r="AX14" s="226">
        <f t="shared" si="21"/>
        <v>0</v>
      </c>
      <c r="AY14" s="224">
        <f t="shared" si="22"/>
        <v>227917.06933999999</v>
      </c>
      <c r="AZ14" s="224">
        <f t="shared" si="23"/>
        <v>399984.05732999998</v>
      </c>
      <c r="BA14" s="224">
        <f t="shared" si="1"/>
        <v>211388.37988999998</v>
      </c>
      <c r="BB14" s="224">
        <f t="shared" si="24"/>
        <v>52.849201365942847</v>
      </c>
      <c r="BC14" s="223">
        <v>0</v>
      </c>
      <c r="BD14" s="223">
        <v>74776500</v>
      </c>
      <c r="BE14" s="223">
        <v>0</v>
      </c>
      <c r="BF14" s="223">
        <v>18073466.960000001</v>
      </c>
      <c r="BG14" s="224">
        <f t="shared" si="25"/>
        <v>92849.966960000005</v>
      </c>
      <c r="BH14" s="223">
        <v>0</v>
      </c>
      <c r="BI14" s="223">
        <v>35094954.390000001</v>
      </c>
      <c r="BJ14" s="223">
        <v>0</v>
      </c>
      <c r="BK14" s="223">
        <v>5207191.1399999997</v>
      </c>
      <c r="BL14" s="224">
        <f t="shared" si="26"/>
        <v>40302.145530000002</v>
      </c>
      <c r="BM14" s="227"/>
      <c r="BN14" s="227"/>
      <c r="BO14" s="227"/>
      <c r="BP14" s="224">
        <f t="shared" si="27"/>
        <v>0</v>
      </c>
      <c r="BQ14" s="227"/>
      <c r="BR14" s="227"/>
      <c r="BS14" s="227"/>
      <c r="BT14" s="224">
        <f t="shared" si="28"/>
        <v>0</v>
      </c>
      <c r="BU14" s="224" t="e">
        <f t="shared" si="29"/>
        <v>#DIV/0!</v>
      </c>
      <c r="BV14" s="224">
        <v>14522.05084</v>
      </c>
      <c r="BW14" s="224">
        <v>18.548999999999999</v>
      </c>
      <c r="BX14" s="227">
        <v>22092286.219999999</v>
      </c>
      <c r="BY14" s="224">
        <f t="shared" si="30"/>
        <v>22092.286219999998</v>
      </c>
      <c r="BZ14" s="227">
        <v>3316202.52</v>
      </c>
      <c r="CA14" s="224">
        <f t="shared" si="31"/>
        <v>3316.2025199999998</v>
      </c>
      <c r="CB14" s="224">
        <f t="shared" si="32"/>
        <v>7570.2353799999983</v>
      </c>
      <c r="CC14" s="224">
        <f t="shared" si="33"/>
        <v>3297.6535199999998</v>
      </c>
      <c r="CD14" s="224">
        <f t="shared" si="2"/>
        <v>-7938.970350000076</v>
      </c>
      <c r="CE14" s="224">
        <f t="shared" si="3"/>
        <v>-89.385110000032</v>
      </c>
      <c r="CF14" s="224">
        <v>0</v>
      </c>
      <c r="CG14" s="224">
        <v>0</v>
      </c>
      <c r="CH14" s="224">
        <f t="shared" si="34"/>
        <v>0</v>
      </c>
      <c r="CI14" s="223">
        <v>0</v>
      </c>
      <c r="CJ14" s="223">
        <v>401659922.81</v>
      </c>
      <c r="CK14" s="223">
        <v>0</v>
      </c>
      <c r="CL14" s="223">
        <v>44375900.899999999</v>
      </c>
      <c r="CM14" s="224">
        <f t="shared" si="35"/>
        <v>446035.82370999997</v>
      </c>
      <c r="CN14" s="223">
        <v>0</v>
      </c>
      <c r="CO14" s="223">
        <v>212114455.94999999</v>
      </c>
      <c r="CP14" s="223">
        <v>0</v>
      </c>
      <c r="CQ14" s="223">
        <v>16372464.390000001</v>
      </c>
      <c r="CR14" s="224">
        <f t="shared" si="36"/>
        <v>228486.92033999998</v>
      </c>
      <c r="CS14" s="228">
        <f t="shared" si="4"/>
        <v>400755.90832999995</v>
      </c>
      <c r="CT14" s="228">
        <f t="shared" si="5"/>
        <v>211958.23088999998</v>
      </c>
      <c r="CU14" s="224">
        <f t="shared" si="37"/>
        <v>52.889608483442316</v>
      </c>
      <c r="CV14" s="223">
        <v>43153000</v>
      </c>
      <c r="CW14" s="224">
        <f t="shared" si="38"/>
        <v>43153</v>
      </c>
      <c r="CX14" s="223">
        <v>20245837.289999999</v>
      </c>
      <c r="CY14" s="224">
        <f t="shared" si="38"/>
        <v>20245.837289999999</v>
      </c>
      <c r="DA14" s="224">
        <f t="shared" si="39"/>
        <v>0</v>
      </c>
      <c r="DC14" s="224">
        <f t="shared" si="40"/>
        <v>0</v>
      </c>
      <c r="DD14" s="224"/>
    </row>
    <row r="15" spans="1:108" x14ac:dyDescent="0.3">
      <c r="A15" s="222" t="s">
        <v>171</v>
      </c>
      <c r="B15" s="223">
        <v>0</v>
      </c>
      <c r="C15" s="223">
        <v>471420555.07999998</v>
      </c>
      <c r="D15" s="223">
        <v>27836102.32</v>
      </c>
      <c r="E15" s="223">
        <v>16847237.91</v>
      </c>
      <c r="F15" s="224">
        <f t="shared" si="6"/>
        <v>516103.89530999999</v>
      </c>
      <c r="G15" s="223">
        <v>0</v>
      </c>
      <c r="H15" s="223">
        <v>246365876.12</v>
      </c>
      <c r="I15" s="223">
        <v>14745805.310000001</v>
      </c>
      <c r="J15" s="223">
        <v>7723909.4900000002</v>
      </c>
      <c r="K15" s="224">
        <f t="shared" si="7"/>
        <v>268835.59091999999</v>
      </c>
      <c r="L15" s="223">
        <v>14406526.879999999</v>
      </c>
      <c r="M15" s="223">
        <v>140000</v>
      </c>
      <c r="N15" s="223">
        <v>969300</v>
      </c>
      <c r="O15" s="224">
        <f t="shared" si="8"/>
        <v>15515.826879999999</v>
      </c>
      <c r="P15" s="223">
        <v>9253950.6399999987</v>
      </c>
      <c r="Q15" s="223">
        <v>140000</v>
      </c>
      <c r="R15" s="223">
        <v>379000</v>
      </c>
      <c r="S15" s="224">
        <f t="shared" si="9"/>
        <v>9772.9506399999991</v>
      </c>
      <c r="T15" s="223">
        <v>0</v>
      </c>
      <c r="U15" s="223">
        <v>606349757.02999997</v>
      </c>
      <c r="V15" s="223">
        <v>32815969.84</v>
      </c>
      <c r="W15" s="223">
        <v>17423033.190000001</v>
      </c>
      <c r="X15" s="224">
        <f t="shared" si="10"/>
        <v>656588.76006000012</v>
      </c>
      <c r="Y15" s="223">
        <v>0</v>
      </c>
      <c r="Z15" s="223">
        <v>335461944.10000002</v>
      </c>
      <c r="AA15" s="223">
        <v>15403292.23</v>
      </c>
      <c r="AB15" s="223">
        <v>7863680</v>
      </c>
      <c r="AC15" s="224">
        <f t="shared" si="11"/>
        <v>358728.91633000004</v>
      </c>
      <c r="AD15" s="224">
        <f t="shared" si="12"/>
        <v>500588.06842999998</v>
      </c>
      <c r="AE15" s="224">
        <f t="shared" si="13"/>
        <v>259062.64027999999</v>
      </c>
      <c r="AF15" s="229">
        <f t="shared" si="14"/>
        <v>51.751661019908255</v>
      </c>
      <c r="AG15" s="230">
        <v>500588</v>
      </c>
      <c r="AH15" s="225">
        <f t="shared" si="15"/>
        <v>-6.8429999984800816E-2</v>
      </c>
      <c r="AI15" s="230">
        <v>259063</v>
      </c>
      <c r="AJ15" s="225">
        <f t="shared" si="16"/>
        <v>0.35972000000765547</v>
      </c>
      <c r="AK15" s="224">
        <f t="shared" si="0"/>
        <v>641072.93318000017</v>
      </c>
      <c r="AL15" s="224">
        <f t="shared" si="17"/>
        <v>348955.96569000004</v>
      </c>
      <c r="AM15" s="229">
        <f t="shared" si="18"/>
        <v>54.433114803182669</v>
      </c>
      <c r="AN15" s="223">
        <v>0</v>
      </c>
      <c r="AO15" s="223">
        <v>395978625.02999997</v>
      </c>
      <c r="AP15" s="223">
        <v>5027826.88</v>
      </c>
      <c r="AQ15" s="223">
        <v>9378700</v>
      </c>
      <c r="AR15" s="226">
        <f t="shared" si="19"/>
        <v>0</v>
      </c>
      <c r="AS15" s="224">
        <f t="shared" si="20"/>
        <v>410385.15190999996</v>
      </c>
      <c r="AT15" s="223">
        <v>0</v>
      </c>
      <c r="AU15" s="223">
        <v>213634893.16</v>
      </c>
      <c r="AV15" s="223">
        <v>4080880.59</v>
      </c>
      <c r="AW15" s="223">
        <v>5173070.05</v>
      </c>
      <c r="AX15" s="226">
        <f t="shared" si="21"/>
        <v>0</v>
      </c>
      <c r="AY15" s="224">
        <f t="shared" si="22"/>
        <v>222888.8438</v>
      </c>
      <c r="AZ15" s="224">
        <f t="shared" si="23"/>
        <v>394869.32502999995</v>
      </c>
      <c r="BA15" s="224">
        <f t="shared" si="1"/>
        <v>213115.89316000001</v>
      </c>
      <c r="BB15" s="224">
        <f t="shared" si="24"/>
        <v>53.971245587083438</v>
      </c>
      <c r="BC15" s="223">
        <v>0</v>
      </c>
      <c r="BD15" s="223">
        <v>88334336</v>
      </c>
      <c r="BE15" s="223">
        <v>22808275.440000001</v>
      </c>
      <c r="BF15" s="223">
        <v>7468537.9100000001</v>
      </c>
      <c r="BG15" s="224">
        <f t="shared" si="25"/>
        <v>118611.14934999999</v>
      </c>
      <c r="BH15" s="223">
        <v>0</v>
      </c>
      <c r="BI15" s="223">
        <v>45662665.079999998</v>
      </c>
      <c r="BJ15" s="223">
        <v>10664924.720000001</v>
      </c>
      <c r="BK15" s="223">
        <v>2550839.44</v>
      </c>
      <c r="BL15" s="224">
        <f t="shared" si="26"/>
        <v>58878.429239999998</v>
      </c>
      <c r="BM15" s="227"/>
      <c r="BN15" s="227"/>
      <c r="BO15" s="227"/>
      <c r="BP15" s="224">
        <f t="shared" si="27"/>
        <v>0</v>
      </c>
      <c r="BQ15" s="227"/>
      <c r="BR15" s="227"/>
      <c r="BS15" s="227"/>
      <c r="BT15" s="224">
        <f t="shared" si="28"/>
        <v>0</v>
      </c>
      <c r="BU15" s="224" t="e">
        <f t="shared" si="29"/>
        <v>#DIV/0!</v>
      </c>
      <c r="BV15" s="224">
        <v>132140.10045999999</v>
      </c>
      <c r="BW15" s="224">
        <v>18481.705600000001</v>
      </c>
      <c r="BX15" s="227">
        <v>52649873.899999999</v>
      </c>
      <c r="BY15" s="224">
        <f t="shared" si="30"/>
        <v>52649.873899999999</v>
      </c>
      <c r="BZ15" s="227">
        <v>5403685.9299999997</v>
      </c>
      <c r="CA15" s="224">
        <f t="shared" si="31"/>
        <v>5403.6859299999996</v>
      </c>
      <c r="CB15" s="224">
        <f t="shared" si="32"/>
        <v>-79490.226559999981</v>
      </c>
      <c r="CC15" s="224">
        <f t="shared" si="33"/>
        <v>-13078.019670000001</v>
      </c>
      <c r="CD15" s="224">
        <f t="shared" si="2"/>
        <v>-140484.86475000018</v>
      </c>
      <c r="CE15" s="224">
        <f t="shared" si="3"/>
        <v>-89893.325410000049</v>
      </c>
      <c r="CF15" s="224">
        <v>16144.1</v>
      </c>
      <c r="CG15" s="224">
        <v>0</v>
      </c>
      <c r="CH15" s="224">
        <f t="shared" si="34"/>
        <v>-16144.1</v>
      </c>
      <c r="CI15" s="223">
        <v>0</v>
      </c>
      <c r="CJ15" s="223">
        <v>383086219.07999998</v>
      </c>
      <c r="CK15" s="223">
        <v>5027826.88</v>
      </c>
      <c r="CL15" s="223">
        <v>9378700</v>
      </c>
      <c r="CM15" s="224">
        <f t="shared" si="35"/>
        <v>397492.74595999997</v>
      </c>
      <c r="CN15" s="223">
        <v>0</v>
      </c>
      <c r="CO15" s="223">
        <v>200703211.03999999</v>
      </c>
      <c r="CP15" s="223">
        <v>4080880.59</v>
      </c>
      <c r="CQ15" s="223">
        <v>5173070.05</v>
      </c>
      <c r="CR15" s="224">
        <f t="shared" si="36"/>
        <v>209957.16168000002</v>
      </c>
      <c r="CS15" s="228">
        <f t="shared" si="4"/>
        <v>381976.91907999996</v>
      </c>
      <c r="CT15" s="228">
        <f t="shared" si="5"/>
        <v>200184.21104000002</v>
      </c>
      <c r="CU15" s="229">
        <f t="shared" si="37"/>
        <v>52.407410249328208</v>
      </c>
      <c r="CV15" s="223">
        <v>76355590</v>
      </c>
      <c r="CW15" s="224">
        <f t="shared" si="38"/>
        <v>76355.59</v>
      </c>
      <c r="CX15" s="223">
        <v>38656147.850000001</v>
      </c>
      <c r="CY15" s="224">
        <f t="shared" si="38"/>
        <v>38656.147850000001</v>
      </c>
      <c r="DA15" s="224">
        <f t="shared" si="39"/>
        <v>0</v>
      </c>
      <c r="DC15" s="224">
        <f t="shared" si="40"/>
        <v>0</v>
      </c>
      <c r="DD15" s="224" t="e">
        <f t="shared" si="41"/>
        <v>#DIV/0!</v>
      </c>
    </row>
    <row r="16" spans="1:108" x14ac:dyDescent="0.3">
      <c r="A16" s="222" t="s">
        <v>172</v>
      </c>
      <c r="B16" s="223">
        <v>0</v>
      </c>
      <c r="C16" s="223">
        <v>349678230.5</v>
      </c>
      <c r="D16" s="223">
        <v>0</v>
      </c>
      <c r="E16" s="223">
        <v>33539600</v>
      </c>
      <c r="F16" s="224">
        <f t="shared" si="6"/>
        <v>383217.83049999998</v>
      </c>
      <c r="G16" s="223">
        <v>0</v>
      </c>
      <c r="H16" s="223">
        <v>203960651.97</v>
      </c>
      <c r="I16" s="223">
        <v>0</v>
      </c>
      <c r="J16" s="223">
        <v>15564677.449999999</v>
      </c>
      <c r="K16" s="224">
        <f t="shared" si="7"/>
        <v>219525.32941999999</v>
      </c>
      <c r="L16" s="223">
        <v>27494900</v>
      </c>
      <c r="M16" s="223">
        <v>0</v>
      </c>
      <c r="N16" s="223">
        <v>3135000</v>
      </c>
      <c r="O16" s="224">
        <f t="shared" si="8"/>
        <v>30629.9</v>
      </c>
      <c r="P16" s="223">
        <v>13410633.59</v>
      </c>
      <c r="Q16" s="223">
        <v>0</v>
      </c>
      <c r="R16" s="223">
        <v>1495500</v>
      </c>
      <c r="S16" s="224">
        <f t="shared" si="9"/>
        <v>14906.133589999999</v>
      </c>
      <c r="T16" s="223">
        <v>0</v>
      </c>
      <c r="U16" s="223">
        <v>359070640.10000002</v>
      </c>
      <c r="V16" s="223">
        <v>0</v>
      </c>
      <c r="W16" s="223">
        <v>34746467.439999998</v>
      </c>
      <c r="X16" s="224">
        <f t="shared" si="10"/>
        <v>393817.10754</v>
      </c>
      <c r="Y16" s="223">
        <v>0</v>
      </c>
      <c r="Z16" s="223">
        <v>214367509.84999999</v>
      </c>
      <c r="AA16" s="223">
        <v>0</v>
      </c>
      <c r="AB16" s="223">
        <v>14935174.83</v>
      </c>
      <c r="AC16" s="224">
        <f t="shared" si="11"/>
        <v>229302.68468000001</v>
      </c>
      <c r="AD16" s="224">
        <f t="shared" si="12"/>
        <v>352587.93049999996</v>
      </c>
      <c r="AE16" s="224">
        <f t="shared" si="13"/>
        <v>204619.19582999998</v>
      </c>
      <c r="AF16" s="229">
        <f t="shared" si="14"/>
        <v>58.03352245774051</v>
      </c>
      <c r="AG16" s="230">
        <v>352588</v>
      </c>
      <c r="AH16" s="225">
        <f t="shared" si="15"/>
        <v>6.9500000041443855E-2</v>
      </c>
      <c r="AI16" s="230">
        <v>204619</v>
      </c>
      <c r="AJ16" s="225">
        <f t="shared" si="16"/>
        <v>-0.19582999998237938</v>
      </c>
      <c r="AK16" s="224">
        <f t="shared" si="0"/>
        <v>363187.20753999997</v>
      </c>
      <c r="AL16" s="224">
        <f t="shared" si="17"/>
        <v>214396.55108999999</v>
      </c>
      <c r="AM16" s="229">
        <f t="shared" si="18"/>
        <v>59.031966610879934</v>
      </c>
      <c r="AN16" s="223">
        <v>0</v>
      </c>
      <c r="AO16" s="223">
        <v>301886465</v>
      </c>
      <c r="AP16" s="223">
        <v>0</v>
      </c>
      <c r="AQ16" s="223">
        <v>27494900</v>
      </c>
      <c r="AR16" s="226">
        <f t="shared" si="19"/>
        <v>0</v>
      </c>
      <c r="AS16" s="224">
        <f t="shared" si="20"/>
        <v>329381.36499999999</v>
      </c>
      <c r="AT16" s="223">
        <v>0</v>
      </c>
      <c r="AU16" s="223">
        <v>183415554.91999999</v>
      </c>
      <c r="AV16" s="223">
        <v>0</v>
      </c>
      <c r="AW16" s="223">
        <v>13410633.59</v>
      </c>
      <c r="AX16" s="226">
        <f t="shared" si="21"/>
        <v>0</v>
      </c>
      <c r="AY16" s="224">
        <f t="shared" si="22"/>
        <v>196826.18850999998</v>
      </c>
      <c r="AZ16" s="224">
        <f t="shared" si="23"/>
        <v>298751.46499999997</v>
      </c>
      <c r="BA16" s="224">
        <f t="shared" si="1"/>
        <v>181920.05491999997</v>
      </c>
      <c r="BB16" s="224">
        <f t="shared" si="24"/>
        <v>60.893443625456364</v>
      </c>
      <c r="BC16" s="223">
        <v>0</v>
      </c>
      <c r="BD16" s="223">
        <v>47795900</v>
      </c>
      <c r="BE16" s="223">
        <v>0</v>
      </c>
      <c r="BF16" s="223">
        <v>6044700</v>
      </c>
      <c r="BG16" s="224">
        <f t="shared" si="25"/>
        <v>53840.6</v>
      </c>
      <c r="BH16" s="223">
        <v>0</v>
      </c>
      <c r="BI16" s="223">
        <v>20549231.550000001</v>
      </c>
      <c r="BJ16" s="223">
        <v>0</v>
      </c>
      <c r="BK16" s="223">
        <v>2154043.86</v>
      </c>
      <c r="BL16" s="224">
        <f t="shared" si="26"/>
        <v>22703.275409999998</v>
      </c>
      <c r="BM16" s="227"/>
      <c r="BN16" s="227"/>
      <c r="BO16" s="227"/>
      <c r="BP16" s="224">
        <f t="shared" si="27"/>
        <v>0</v>
      </c>
      <c r="BQ16" s="227"/>
      <c r="BR16" s="227"/>
      <c r="BS16" s="227"/>
      <c r="BT16" s="224">
        <f t="shared" si="28"/>
        <v>0</v>
      </c>
      <c r="BU16" s="224" t="e">
        <f t="shared" si="29"/>
        <v>#DIV/0!</v>
      </c>
      <c r="BV16" s="224">
        <v>8299.2770400000009</v>
      </c>
      <c r="BW16" s="224">
        <v>5647.6805000000004</v>
      </c>
      <c r="BX16" s="227">
        <v>13198253.9</v>
      </c>
      <c r="BY16" s="224">
        <f t="shared" si="30"/>
        <v>13198.2539</v>
      </c>
      <c r="BZ16" s="227">
        <v>4349111.6900000004</v>
      </c>
      <c r="CA16" s="224">
        <f t="shared" si="31"/>
        <v>4349.1116900000006</v>
      </c>
      <c r="CB16" s="224">
        <f t="shared" si="32"/>
        <v>4898.9768599999989</v>
      </c>
      <c r="CC16" s="224">
        <f t="shared" si="33"/>
        <v>-1298.5688099999998</v>
      </c>
      <c r="CD16" s="224">
        <f t="shared" si="2"/>
        <v>-10599.277040000015</v>
      </c>
      <c r="CE16" s="224">
        <f t="shared" si="3"/>
        <v>-9777.3552600000112</v>
      </c>
      <c r="CF16" s="224">
        <v>2000</v>
      </c>
      <c r="CG16" s="224">
        <v>290</v>
      </c>
      <c r="CH16" s="224">
        <f t="shared" si="34"/>
        <v>-1710</v>
      </c>
      <c r="CI16" s="223">
        <v>0</v>
      </c>
      <c r="CJ16" s="223">
        <v>301882330.5</v>
      </c>
      <c r="CK16" s="223">
        <v>0</v>
      </c>
      <c r="CL16" s="223">
        <v>27494900</v>
      </c>
      <c r="CM16" s="224">
        <f t="shared" si="35"/>
        <v>329377.23050000001</v>
      </c>
      <c r="CN16" s="223">
        <v>0</v>
      </c>
      <c r="CO16" s="223">
        <v>183411420.41999999</v>
      </c>
      <c r="CP16" s="223">
        <v>0</v>
      </c>
      <c r="CQ16" s="223">
        <v>13410633.59</v>
      </c>
      <c r="CR16" s="224">
        <f t="shared" si="36"/>
        <v>196822.05400999999</v>
      </c>
      <c r="CS16" s="228">
        <f t="shared" si="4"/>
        <v>298747.33049999998</v>
      </c>
      <c r="CT16" s="228">
        <f t="shared" si="5"/>
        <v>181915.92041999998</v>
      </c>
      <c r="CU16" s="229">
        <f t="shared" si="37"/>
        <v>60.892902412060209</v>
      </c>
      <c r="CV16" s="223">
        <v>30447300</v>
      </c>
      <c r="CW16" s="224">
        <f t="shared" si="38"/>
        <v>30447.3</v>
      </c>
      <c r="CX16" s="223">
        <v>15187368.09</v>
      </c>
      <c r="CY16" s="224">
        <f t="shared" si="38"/>
        <v>15187.36809</v>
      </c>
      <c r="DA16" s="224">
        <f t="shared" si="39"/>
        <v>0</v>
      </c>
      <c r="DC16" s="224">
        <f t="shared" si="40"/>
        <v>0</v>
      </c>
      <c r="DD16" s="224" t="e">
        <f t="shared" si="41"/>
        <v>#DIV/0!</v>
      </c>
    </row>
    <row r="17" spans="1:108" x14ac:dyDescent="0.3">
      <c r="A17" s="222" t="s">
        <v>173</v>
      </c>
      <c r="B17" s="223">
        <v>0</v>
      </c>
      <c r="C17" s="223">
        <v>499467858.35000002</v>
      </c>
      <c r="D17" s="223">
        <v>38302280</v>
      </c>
      <c r="E17" s="223">
        <v>45755544</v>
      </c>
      <c r="F17" s="224">
        <f t="shared" si="6"/>
        <v>583525.68235000002</v>
      </c>
      <c r="G17" s="223">
        <v>0</v>
      </c>
      <c r="H17" s="223">
        <v>264001824.94999999</v>
      </c>
      <c r="I17" s="223">
        <v>16134494.359999999</v>
      </c>
      <c r="J17" s="223">
        <v>24778917.93</v>
      </c>
      <c r="K17" s="224">
        <f t="shared" si="7"/>
        <v>304915.23723999999</v>
      </c>
      <c r="L17" s="223">
        <v>54915102</v>
      </c>
      <c r="M17" s="223">
        <v>2041640</v>
      </c>
      <c r="N17" s="223">
        <v>4276040</v>
      </c>
      <c r="O17" s="224">
        <f t="shared" si="8"/>
        <v>61232.781999999999</v>
      </c>
      <c r="P17" s="223">
        <v>27865194.740000002</v>
      </c>
      <c r="Q17" s="223">
        <v>0</v>
      </c>
      <c r="R17" s="223">
        <v>1923131.5</v>
      </c>
      <c r="S17" s="224">
        <f t="shared" si="9"/>
        <v>29788.326240000002</v>
      </c>
      <c r="T17" s="223">
        <v>0</v>
      </c>
      <c r="U17" s="223">
        <v>503880244.51999998</v>
      </c>
      <c r="V17" s="223">
        <v>38754127.07</v>
      </c>
      <c r="W17" s="223">
        <v>48334686.259999998</v>
      </c>
      <c r="X17" s="224">
        <f t="shared" si="10"/>
        <v>590969.05784999998</v>
      </c>
      <c r="Y17" s="223">
        <v>0</v>
      </c>
      <c r="Z17" s="223">
        <v>267827855.91999999</v>
      </c>
      <c r="AA17" s="223">
        <v>15432045.93</v>
      </c>
      <c r="AB17" s="223">
        <v>25031198.170000002</v>
      </c>
      <c r="AC17" s="224">
        <f t="shared" si="11"/>
        <v>308291.10001999995</v>
      </c>
      <c r="AD17" s="224">
        <f t="shared" si="12"/>
        <v>522292.90035000001</v>
      </c>
      <c r="AE17" s="224">
        <f t="shared" si="13"/>
        <v>275126.91099999996</v>
      </c>
      <c r="AF17" s="224">
        <f t="shared" si="14"/>
        <v>52.676747245775566</v>
      </c>
      <c r="AG17" s="225">
        <v>522333</v>
      </c>
      <c r="AH17" s="225">
        <f t="shared" si="15"/>
        <v>40.099649999989197</v>
      </c>
      <c r="AI17" s="225">
        <v>275127</v>
      </c>
      <c r="AJ17" s="225">
        <f t="shared" si="16"/>
        <v>8.900000003632158E-2</v>
      </c>
      <c r="AK17" s="224">
        <f t="shared" si="0"/>
        <v>529736.27584999998</v>
      </c>
      <c r="AL17" s="224">
        <f t="shared" si="17"/>
        <v>278502.77377999993</v>
      </c>
      <c r="AM17" s="224">
        <f t="shared" si="18"/>
        <v>52.573853533651665</v>
      </c>
      <c r="AN17" s="223">
        <v>0</v>
      </c>
      <c r="AO17" s="223">
        <v>365692889</v>
      </c>
      <c r="AP17" s="223">
        <v>17976633</v>
      </c>
      <c r="AQ17" s="223">
        <v>36898469</v>
      </c>
      <c r="AR17" s="226">
        <f t="shared" si="19"/>
        <v>40000</v>
      </c>
      <c r="AS17" s="224">
        <f t="shared" si="20"/>
        <v>420567.99099999998</v>
      </c>
      <c r="AT17" s="223">
        <v>0</v>
      </c>
      <c r="AU17" s="223">
        <v>192808321.12</v>
      </c>
      <c r="AV17" s="223">
        <v>7904170.7400000002</v>
      </c>
      <c r="AW17" s="223">
        <v>19961024</v>
      </c>
      <c r="AX17" s="226">
        <f t="shared" si="21"/>
        <v>0</v>
      </c>
      <c r="AY17" s="224">
        <f t="shared" si="22"/>
        <v>220673.51586000001</v>
      </c>
      <c r="AZ17" s="224">
        <f t="shared" si="23"/>
        <v>359335.20899999997</v>
      </c>
      <c r="BA17" s="224">
        <f t="shared" si="1"/>
        <v>190885.18962000002</v>
      </c>
      <c r="BB17" s="224">
        <f t="shared" si="24"/>
        <v>53.12176063993774</v>
      </c>
      <c r="BC17" s="223">
        <v>0</v>
      </c>
      <c r="BD17" s="223">
        <v>131947263.93000001</v>
      </c>
      <c r="BE17" s="223">
        <v>20316647</v>
      </c>
      <c r="BF17" s="223">
        <v>8857075</v>
      </c>
      <c r="BG17" s="224">
        <f t="shared" si="25"/>
        <v>161120.98593</v>
      </c>
      <c r="BH17" s="223">
        <v>0</v>
      </c>
      <c r="BI17" s="223">
        <v>69365798.409999996</v>
      </c>
      <c r="BJ17" s="223">
        <v>8221323.6200000001</v>
      </c>
      <c r="BK17" s="223">
        <v>4817893.93</v>
      </c>
      <c r="BL17" s="224">
        <f t="shared" si="26"/>
        <v>82405.015960000004</v>
      </c>
      <c r="BM17" s="227"/>
      <c r="BN17" s="227"/>
      <c r="BO17" s="227"/>
      <c r="BP17" s="224">
        <f t="shared" si="27"/>
        <v>0</v>
      </c>
      <c r="BQ17" s="227"/>
      <c r="BR17" s="227"/>
      <c r="BS17" s="227"/>
      <c r="BT17" s="224">
        <f t="shared" si="28"/>
        <v>0</v>
      </c>
      <c r="BU17" s="224" t="e">
        <f t="shared" si="29"/>
        <v>#DIV/0!</v>
      </c>
      <c r="BV17" s="224">
        <v>13195.60908</v>
      </c>
      <c r="BW17" s="224">
        <v>1435.4765500000001</v>
      </c>
      <c r="BX17" s="227">
        <v>17261074.48</v>
      </c>
      <c r="BY17" s="224">
        <f t="shared" si="30"/>
        <v>17261.074479999999</v>
      </c>
      <c r="BZ17" s="227">
        <v>1454053.94</v>
      </c>
      <c r="CA17" s="224">
        <f t="shared" si="31"/>
        <v>1454.05394</v>
      </c>
      <c r="CB17" s="224">
        <f t="shared" si="32"/>
        <v>4065.4653999999991</v>
      </c>
      <c r="CC17" s="224">
        <f t="shared" si="33"/>
        <v>18.577389999999923</v>
      </c>
      <c r="CD17" s="224">
        <f t="shared" si="2"/>
        <v>-7443.3754999999655</v>
      </c>
      <c r="CE17" s="224">
        <f t="shared" si="3"/>
        <v>-3375.8627799999667</v>
      </c>
      <c r="CF17" s="224">
        <v>11000</v>
      </c>
      <c r="CG17" s="224">
        <v>11000</v>
      </c>
      <c r="CH17" s="224">
        <f t="shared" si="34"/>
        <v>0</v>
      </c>
      <c r="CI17" s="223">
        <v>0</v>
      </c>
      <c r="CJ17" s="223">
        <v>367520594.42000002</v>
      </c>
      <c r="CK17" s="223">
        <v>17985633</v>
      </c>
      <c r="CL17" s="223">
        <v>36898469</v>
      </c>
      <c r="CM17" s="224">
        <f t="shared" si="35"/>
        <v>422404.69641999999</v>
      </c>
      <c r="CN17" s="223">
        <v>0</v>
      </c>
      <c r="CO17" s="223">
        <v>194636026.53999999</v>
      </c>
      <c r="CP17" s="223">
        <v>7913170.7400000002</v>
      </c>
      <c r="CQ17" s="223">
        <v>19961024</v>
      </c>
      <c r="CR17" s="224">
        <f t="shared" si="36"/>
        <v>222510.22128</v>
      </c>
      <c r="CS17" s="228">
        <f t="shared" si="4"/>
        <v>361171.91441999999</v>
      </c>
      <c r="CT17" s="228">
        <f t="shared" si="5"/>
        <v>192721.89504</v>
      </c>
      <c r="CU17" s="224">
        <f t="shared" si="37"/>
        <v>53.360155467650053</v>
      </c>
      <c r="CV17" s="223">
        <v>98723600</v>
      </c>
      <c r="CW17" s="224">
        <f t="shared" si="38"/>
        <v>98723.6</v>
      </c>
      <c r="CX17" s="223">
        <v>48677279.640000001</v>
      </c>
      <c r="CY17" s="224">
        <f t="shared" si="38"/>
        <v>48677.279640000001</v>
      </c>
      <c r="DA17" s="224">
        <f t="shared" si="39"/>
        <v>0</v>
      </c>
      <c r="DC17" s="224">
        <f t="shared" si="40"/>
        <v>0</v>
      </c>
      <c r="DD17" s="224" t="e">
        <f t="shared" si="41"/>
        <v>#DIV/0!</v>
      </c>
    </row>
    <row r="18" spans="1:108" x14ac:dyDescent="0.3">
      <c r="A18" s="222" t="s">
        <v>174</v>
      </c>
      <c r="B18" s="223">
        <v>0</v>
      </c>
      <c r="C18" s="223">
        <v>671546488.37</v>
      </c>
      <c r="D18" s="223">
        <v>127318749.51000001</v>
      </c>
      <c r="E18" s="223">
        <v>8137233.5599999996</v>
      </c>
      <c r="F18" s="224">
        <f t="shared" si="6"/>
        <v>807002.47143999999</v>
      </c>
      <c r="G18" s="223">
        <v>0</v>
      </c>
      <c r="H18" s="223">
        <v>296426257.73000002</v>
      </c>
      <c r="I18" s="223">
        <v>42123764.549999997</v>
      </c>
      <c r="J18" s="223">
        <v>2098558.9500000002</v>
      </c>
      <c r="K18" s="224">
        <f t="shared" si="7"/>
        <v>340648.58123000001</v>
      </c>
      <c r="L18" s="223">
        <v>44749580.899999999</v>
      </c>
      <c r="M18" s="223">
        <v>36397344.75</v>
      </c>
      <c r="N18" s="223">
        <v>95000</v>
      </c>
      <c r="O18" s="224">
        <f t="shared" si="8"/>
        <v>81241.925650000005</v>
      </c>
      <c r="P18" s="223">
        <v>14875663.66</v>
      </c>
      <c r="Q18" s="223">
        <v>18459537.059999999</v>
      </c>
      <c r="R18" s="223">
        <v>35000</v>
      </c>
      <c r="S18" s="224">
        <f t="shared" si="9"/>
        <v>33370.200720000001</v>
      </c>
      <c r="T18" s="223">
        <v>0</v>
      </c>
      <c r="U18" s="223">
        <v>738589499.57000005</v>
      </c>
      <c r="V18" s="223">
        <v>136391378.93000001</v>
      </c>
      <c r="W18" s="223">
        <v>14961660.42</v>
      </c>
      <c r="X18" s="224">
        <f t="shared" si="10"/>
        <v>889942.53891999996</v>
      </c>
      <c r="Y18" s="223">
        <v>0</v>
      </c>
      <c r="Z18" s="223">
        <v>352615479.69</v>
      </c>
      <c r="AA18" s="223">
        <v>42295176.590000004</v>
      </c>
      <c r="AB18" s="223">
        <v>8656088.1199999992</v>
      </c>
      <c r="AC18" s="224">
        <f t="shared" si="11"/>
        <v>403566.74439999997</v>
      </c>
      <c r="AD18" s="224">
        <f t="shared" si="12"/>
        <v>725760.54579</v>
      </c>
      <c r="AE18" s="224">
        <f t="shared" si="13"/>
        <v>307278.38050999999</v>
      </c>
      <c r="AF18" s="224">
        <f t="shared" si="14"/>
        <v>42.338810271853973</v>
      </c>
      <c r="AG18" s="225">
        <v>725773</v>
      </c>
      <c r="AH18" s="225">
        <f t="shared" si="15"/>
        <v>12.454209999996237</v>
      </c>
      <c r="AI18" s="225">
        <v>307278</v>
      </c>
      <c r="AJ18" s="225">
        <f t="shared" si="16"/>
        <v>-0.38050999998813495</v>
      </c>
      <c r="AK18" s="224">
        <f t="shared" si="0"/>
        <v>808700.61326999997</v>
      </c>
      <c r="AL18" s="224">
        <f t="shared" si="17"/>
        <v>370196.54367999994</v>
      </c>
      <c r="AM18" s="224">
        <f t="shared" si="18"/>
        <v>45.776711134557139</v>
      </c>
      <c r="AN18" s="223">
        <v>0</v>
      </c>
      <c r="AO18" s="223">
        <v>528518105.92000002</v>
      </c>
      <c r="AP18" s="223">
        <v>40516749.509999998</v>
      </c>
      <c r="AQ18" s="223">
        <v>4220831.3899999997</v>
      </c>
      <c r="AR18" s="226">
        <f t="shared" si="19"/>
        <v>12000.000000000931</v>
      </c>
      <c r="AS18" s="224">
        <f t="shared" si="20"/>
        <v>573255.68682000006</v>
      </c>
      <c r="AT18" s="223">
        <v>0</v>
      </c>
      <c r="AU18" s="223">
        <v>254668507.58000001</v>
      </c>
      <c r="AV18" s="223">
        <v>12682874.109999999</v>
      </c>
      <c r="AW18" s="223">
        <v>2192789.5499999998</v>
      </c>
      <c r="AX18" s="226">
        <f t="shared" si="21"/>
        <v>0</v>
      </c>
      <c r="AY18" s="224">
        <f t="shared" si="22"/>
        <v>269544.17124</v>
      </c>
      <c r="AZ18" s="224">
        <f t="shared" si="23"/>
        <v>492013.76117000007</v>
      </c>
      <c r="BA18" s="224">
        <f t="shared" si="1"/>
        <v>236173.97052</v>
      </c>
      <c r="BB18" s="224">
        <f t="shared" si="24"/>
        <v>48.001496941545383</v>
      </c>
      <c r="BC18" s="223">
        <v>0</v>
      </c>
      <c r="BD18" s="223">
        <v>180262000</v>
      </c>
      <c r="BE18" s="223">
        <v>86652000</v>
      </c>
      <c r="BF18" s="223">
        <v>5478600</v>
      </c>
      <c r="BG18" s="224">
        <f t="shared" si="25"/>
        <v>272392.59999999998</v>
      </c>
      <c r="BH18" s="223">
        <v>0</v>
      </c>
      <c r="BI18" s="223">
        <v>78991367.700000003</v>
      </c>
      <c r="BJ18" s="223">
        <v>29290890.440000001</v>
      </c>
      <c r="BK18" s="223">
        <v>1467967.23</v>
      </c>
      <c r="BL18" s="224">
        <f t="shared" si="26"/>
        <v>109750.22537</v>
      </c>
      <c r="BM18" s="227"/>
      <c r="BN18" s="227"/>
      <c r="BO18" s="227"/>
      <c r="BP18" s="224">
        <f t="shared" si="27"/>
        <v>0</v>
      </c>
      <c r="BQ18" s="227"/>
      <c r="BR18" s="227"/>
      <c r="BS18" s="227"/>
      <c r="BT18" s="224">
        <f t="shared" si="28"/>
        <v>0</v>
      </c>
      <c r="BU18" s="224" t="e">
        <f t="shared" si="29"/>
        <v>#DIV/0!</v>
      </c>
      <c r="BV18" s="224">
        <v>56842.208039999998</v>
      </c>
      <c r="BW18" s="224">
        <v>54133.320030000003</v>
      </c>
      <c r="BX18" s="227">
        <v>39944359.380000003</v>
      </c>
      <c r="BY18" s="224">
        <f t="shared" si="30"/>
        <v>39944.359380000002</v>
      </c>
      <c r="BZ18" s="227">
        <v>5384861.2599999998</v>
      </c>
      <c r="CA18" s="224">
        <f t="shared" si="31"/>
        <v>5384.8612599999997</v>
      </c>
      <c r="CB18" s="224">
        <f t="shared" si="32"/>
        <v>-16897.848659999996</v>
      </c>
      <c r="CC18" s="224">
        <f t="shared" si="33"/>
        <v>-48748.458770000005</v>
      </c>
      <c r="CD18" s="224">
        <f t="shared" si="2"/>
        <v>-82940.067479999969</v>
      </c>
      <c r="CE18" s="224">
        <f t="shared" si="3"/>
        <v>-62918.163169999956</v>
      </c>
      <c r="CF18" s="224">
        <v>80000</v>
      </c>
      <c r="CG18" s="224">
        <v>115000</v>
      </c>
      <c r="CH18" s="224">
        <f t="shared" si="34"/>
        <v>35000</v>
      </c>
      <c r="CI18" s="223">
        <v>0</v>
      </c>
      <c r="CJ18" s="223">
        <v>491284488.37</v>
      </c>
      <c r="CK18" s="223">
        <v>40666749.509999998</v>
      </c>
      <c r="CL18" s="223">
        <v>2658633.56</v>
      </c>
      <c r="CM18" s="224">
        <f t="shared" si="35"/>
        <v>534609.87144000002</v>
      </c>
      <c r="CN18" s="223">
        <v>0</v>
      </c>
      <c r="CO18" s="223">
        <v>217434890.03</v>
      </c>
      <c r="CP18" s="223">
        <v>12832874.109999999</v>
      </c>
      <c r="CQ18" s="223">
        <v>630591.72</v>
      </c>
      <c r="CR18" s="224">
        <f t="shared" si="36"/>
        <v>230898.35585999998</v>
      </c>
      <c r="CS18" s="228">
        <f t="shared" si="4"/>
        <v>453367.94579000003</v>
      </c>
      <c r="CT18" s="228">
        <f t="shared" si="5"/>
        <v>197528.15513999999</v>
      </c>
      <c r="CU18" s="229">
        <f t="shared" si="37"/>
        <v>43.569060621567409</v>
      </c>
      <c r="CV18" s="223">
        <v>149532000</v>
      </c>
      <c r="CW18" s="224">
        <f t="shared" si="38"/>
        <v>149532</v>
      </c>
      <c r="CX18" s="223">
        <v>71170874.280000001</v>
      </c>
      <c r="CY18" s="224">
        <f t="shared" si="38"/>
        <v>71170.874280000004</v>
      </c>
      <c r="DA18" s="224">
        <f t="shared" si="39"/>
        <v>0</v>
      </c>
      <c r="DC18" s="224">
        <f t="shared" si="40"/>
        <v>0</v>
      </c>
      <c r="DD18" s="224" t="e">
        <f t="shared" si="41"/>
        <v>#DIV/0!</v>
      </c>
    </row>
    <row r="19" spans="1:108" x14ac:dyDescent="0.3">
      <c r="A19" s="222" t="s">
        <v>175</v>
      </c>
      <c r="B19" s="223">
        <v>0</v>
      </c>
      <c r="C19" s="223">
        <v>836348154.57000005</v>
      </c>
      <c r="D19" s="223">
        <v>90927606.180000007</v>
      </c>
      <c r="E19" s="223">
        <v>14452481.619999999</v>
      </c>
      <c r="F19" s="224">
        <f t="shared" si="6"/>
        <v>941728.24236999999</v>
      </c>
      <c r="G19" s="223">
        <v>0</v>
      </c>
      <c r="H19" s="223">
        <v>417897340.66000003</v>
      </c>
      <c r="I19" s="223">
        <v>-52853767.310000002</v>
      </c>
      <c r="J19" s="223">
        <v>-1073800.01</v>
      </c>
      <c r="K19" s="224">
        <f t="shared" si="7"/>
        <v>363969.77334000001</v>
      </c>
      <c r="L19" s="223">
        <v>170933240.79000002</v>
      </c>
      <c r="M19" s="223">
        <v>0</v>
      </c>
      <c r="N19" s="223">
        <v>12354409.23</v>
      </c>
      <c r="O19" s="224">
        <f t="shared" si="8"/>
        <v>183287.65002</v>
      </c>
      <c r="P19" s="223">
        <v>50386891.649999999</v>
      </c>
      <c r="Q19" s="223">
        <v>0</v>
      </c>
      <c r="R19" s="223">
        <v>6005782.1799999997</v>
      </c>
      <c r="S19" s="224">
        <f t="shared" si="9"/>
        <v>56392.67383</v>
      </c>
      <c r="T19" s="223">
        <v>0</v>
      </c>
      <c r="U19" s="223">
        <v>855431539.49000001</v>
      </c>
      <c r="V19" s="223">
        <v>219557135.09</v>
      </c>
      <c r="W19" s="223">
        <v>44448885.899999999</v>
      </c>
      <c r="X19" s="224">
        <f t="shared" si="10"/>
        <v>1119437.56048</v>
      </c>
      <c r="Y19" s="223">
        <v>0</v>
      </c>
      <c r="Z19" s="223">
        <v>422883520.31</v>
      </c>
      <c r="AA19" s="223">
        <v>66001286.479999997</v>
      </c>
      <c r="AB19" s="223">
        <v>23602860.210000001</v>
      </c>
      <c r="AC19" s="224">
        <f t="shared" si="11"/>
        <v>512487.66700000002</v>
      </c>
      <c r="AD19" s="224">
        <f t="shared" si="12"/>
        <v>758440.59235000005</v>
      </c>
      <c r="AE19" s="224">
        <f t="shared" si="13"/>
        <v>307577.09951000003</v>
      </c>
      <c r="AF19" s="224">
        <f t="shared" si="14"/>
        <v>40.55388155807745</v>
      </c>
      <c r="AG19" s="225">
        <v>758441</v>
      </c>
      <c r="AH19" s="225">
        <f t="shared" si="15"/>
        <v>0.40764999995008111</v>
      </c>
      <c r="AI19" s="225">
        <v>307577</v>
      </c>
      <c r="AJ19" s="225">
        <f t="shared" si="16"/>
        <v>-9.9510000029113144E-2</v>
      </c>
      <c r="AK19" s="224">
        <f t="shared" si="0"/>
        <v>936149.91045999993</v>
      </c>
      <c r="AL19" s="224">
        <f t="shared" si="17"/>
        <v>456094.99317000003</v>
      </c>
      <c r="AM19" s="224">
        <f t="shared" si="18"/>
        <v>48.720294482097074</v>
      </c>
      <c r="AN19" s="223">
        <v>0</v>
      </c>
      <c r="AO19" s="223">
        <v>661315781.49000001</v>
      </c>
      <c r="AP19" s="223">
        <v>142497335.78999999</v>
      </c>
      <c r="AQ19" s="223">
        <v>28435905</v>
      </c>
      <c r="AR19" s="226">
        <f t="shared" si="19"/>
        <v>2.9802322387695313E-8</v>
      </c>
      <c r="AS19" s="224">
        <f t="shared" si="20"/>
        <v>832249.02227999992</v>
      </c>
      <c r="AT19" s="223">
        <v>0</v>
      </c>
      <c r="AU19" s="223">
        <v>331678951.05000001</v>
      </c>
      <c r="AV19" s="223">
        <v>35022531.579999998</v>
      </c>
      <c r="AW19" s="223">
        <v>15364360.07</v>
      </c>
      <c r="AX19" s="226">
        <f t="shared" si="21"/>
        <v>0</v>
      </c>
      <c r="AY19" s="224">
        <f t="shared" si="22"/>
        <v>382065.84269999998</v>
      </c>
      <c r="AZ19" s="224">
        <f t="shared" si="23"/>
        <v>648961.37225999986</v>
      </c>
      <c r="BA19" s="224">
        <f t="shared" si="1"/>
        <v>325673.16886999999</v>
      </c>
      <c r="BB19" s="224">
        <f t="shared" si="24"/>
        <v>50.18375249914294</v>
      </c>
      <c r="BC19" s="223">
        <v>0</v>
      </c>
      <c r="BD19" s="223">
        <v>174770000</v>
      </c>
      <c r="BE19" s="223">
        <v>61174097.590000004</v>
      </c>
      <c r="BF19" s="223">
        <v>7633523.6900000004</v>
      </c>
      <c r="BG19" s="224">
        <f t="shared" si="25"/>
        <v>243577.62127999999</v>
      </c>
      <c r="BH19" s="223">
        <v>0</v>
      </c>
      <c r="BI19" s="223">
        <v>85956016.530000001</v>
      </c>
      <c r="BJ19" s="223">
        <v>24867528.309999999</v>
      </c>
      <c r="BK19" s="223">
        <v>5168156.99</v>
      </c>
      <c r="BL19" s="224">
        <f t="shared" si="26"/>
        <v>115991.70183000001</v>
      </c>
      <c r="BM19" s="227"/>
      <c r="BN19" s="227"/>
      <c r="BO19" s="227"/>
      <c r="BP19" s="224">
        <f t="shared" si="27"/>
        <v>0</v>
      </c>
      <c r="BQ19" s="227"/>
      <c r="BR19" s="227"/>
      <c r="BS19" s="227"/>
      <c r="BT19" s="224">
        <f t="shared" si="28"/>
        <v>0</v>
      </c>
      <c r="BU19" s="229" t="e">
        <f t="shared" si="29"/>
        <v>#DIV/0!</v>
      </c>
      <c r="BV19" s="224">
        <v>165536.10162</v>
      </c>
      <c r="BW19" s="224">
        <v>153311.12443</v>
      </c>
      <c r="BX19" s="227">
        <v>39537020.009999998</v>
      </c>
      <c r="BY19" s="224">
        <f t="shared" si="30"/>
        <v>39537.02001</v>
      </c>
      <c r="BZ19" s="227">
        <v>8401900.4000000004</v>
      </c>
      <c r="CA19" s="224">
        <f t="shared" si="31"/>
        <v>8401.9004000000004</v>
      </c>
      <c r="CB19" s="224">
        <f t="shared" si="32"/>
        <v>-125999.08160999999</v>
      </c>
      <c r="CC19" s="224">
        <f t="shared" si="33"/>
        <v>-144909.22402999998</v>
      </c>
      <c r="CD19" s="224">
        <f t="shared" si="2"/>
        <v>-177709.31810999988</v>
      </c>
      <c r="CE19" s="224">
        <f t="shared" si="3"/>
        <v>-148517.89366</v>
      </c>
      <c r="CF19" s="224">
        <v>0</v>
      </c>
      <c r="CG19" s="224">
        <v>0</v>
      </c>
      <c r="CH19" s="224">
        <f t="shared" si="34"/>
        <v>0</v>
      </c>
      <c r="CI19" s="223">
        <v>0</v>
      </c>
      <c r="CJ19" s="223">
        <v>661578154.57000005</v>
      </c>
      <c r="CK19" s="223">
        <v>29753508.59</v>
      </c>
      <c r="CL19" s="223">
        <v>6818957.9299999997</v>
      </c>
      <c r="CM19" s="224">
        <f t="shared" si="35"/>
        <v>698150.62109000003</v>
      </c>
      <c r="CN19" s="223">
        <v>0</v>
      </c>
      <c r="CO19" s="223">
        <v>331941324.13</v>
      </c>
      <c r="CP19" s="223">
        <v>-77721295.620000005</v>
      </c>
      <c r="CQ19" s="223">
        <v>-6241957</v>
      </c>
      <c r="CR19" s="224">
        <f t="shared" si="36"/>
        <v>247978.07150999998</v>
      </c>
      <c r="CS19" s="228">
        <f t="shared" si="4"/>
        <v>514862.97107000003</v>
      </c>
      <c r="CT19" s="228">
        <f t="shared" si="5"/>
        <v>191585.39767999999</v>
      </c>
      <c r="CU19" s="224">
        <f t="shared" si="37"/>
        <v>37.21094901850153</v>
      </c>
      <c r="CV19" s="223">
        <v>132200000</v>
      </c>
      <c r="CW19" s="224">
        <f t="shared" si="38"/>
        <v>132200</v>
      </c>
      <c r="CX19" s="223">
        <v>63880856.57</v>
      </c>
      <c r="CY19" s="224">
        <f t="shared" si="38"/>
        <v>63880.856570000004</v>
      </c>
      <c r="DA19" s="224">
        <f t="shared" si="39"/>
        <v>0</v>
      </c>
      <c r="DC19" s="224">
        <f t="shared" si="40"/>
        <v>0</v>
      </c>
      <c r="DD19" s="224"/>
    </row>
    <row r="20" spans="1:108" x14ac:dyDescent="0.3">
      <c r="A20" s="222" t="s">
        <v>176</v>
      </c>
      <c r="B20" s="223">
        <v>0</v>
      </c>
      <c r="C20" s="223">
        <v>1012696281.29</v>
      </c>
      <c r="D20" s="223">
        <v>0</v>
      </c>
      <c r="E20" s="223">
        <v>97987680.409999996</v>
      </c>
      <c r="F20" s="224">
        <f t="shared" si="6"/>
        <v>1110683.9617000001</v>
      </c>
      <c r="G20" s="223">
        <v>0</v>
      </c>
      <c r="H20" s="223">
        <v>527720798.06</v>
      </c>
      <c r="I20" s="223">
        <v>0</v>
      </c>
      <c r="J20" s="223">
        <v>45097525.619999997</v>
      </c>
      <c r="K20" s="224">
        <f t="shared" si="7"/>
        <v>572818.32367999991</v>
      </c>
      <c r="L20" s="223">
        <v>74755000</v>
      </c>
      <c r="M20" s="223">
        <v>0</v>
      </c>
      <c r="N20" s="223">
        <v>19843000</v>
      </c>
      <c r="O20" s="224">
        <f t="shared" si="8"/>
        <v>94598</v>
      </c>
      <c r="P20" s="223">
        <v>38383988.450000003</v>
      </c>
      <c r="Q20" s="223">
        <v>0</v>
      </c>
      <c r="R20" s="223">
        <v>10763312.33</v>
      </c>
      <c r="S20" s="224">
        <f t="shared" si="9"/>
        <v>49147.300779999998</v>
      </c>
      <c r="T20" s="223">
        <v>0</v>
      </c>
      <c r="U20" s="223">
        <v>1017481972.5</v>
      </c>
      <c r="V20" s="223">
        <v>0</v>
      </c>
      <c r="W20" s="223">
        <v>104471848.26000001</v>
      </c>
      <c r="X20" s="224">
        <f t="shared" si="10"/>
        <v>1121953.82076</v>
      </c>
      <c r="Y20" s="223">
        <v>0</v>
      </c>
      <c r="Z20" s="223">
        <v>523094980.95999998</v>
      </c>
      <c r="AA20" s="223">
        <v>0</v>
      </c>
      <c r="AB20" s="223">
        <v>49296305.789999999</v>
      </c>
      <c r="AC20" s="224">
        <f t="shared" si="11"/>
        <v>572391.28674999997</v>
      </c>
      <c r="AD20" s="224">
        <f t="shared" si="12"/>
        <v>1016085.9617000001</v>
      </c>
      <c r="AE20" s="224">
        <f t="shared" si="13"/>
        <v>523671.02289999992</v>
      </c>
      <c r="AF20" s="224">
        <f t="shared" si="14"/>
        <v>51.538062982767002</v>
      </c>
      <c r="AG20" s="225">
        <v>1016604</v>
      </c>
      <c r="AH20" s="225">
        <f t="shared" si="15"/>
        <v>518.0382999998983</v>
      </c>
      <c r="AI20" s="225">
        <v>523671</v>
      </c>
      <c r="AJ20" s="225">
        <f t="shared" si="16"/>
        <v>-2.2899999923538417E-2</v>
      </c>
      <c r="AK20" s="224">
        <f t="shared" si="0"/>
        <v>1027355.82076</v>
      </c>
      <c r="AL20" s="224">
        <f t="shared" si="17"/>
        <v>523243.98596999998</v>
      </c>
      <c r="AM20" s="224">
        <f t="shared" si="18"/>
        <v>50.931135580944421</v>
      </c>
      <c r="AN20" s="223">
        <v>0</v>
      </c>
      <c r="AO20" s="223">
        <v>886991190</v>
      </c>
      <c r="AP20" s="223">
        <v>0</v>
      </c>
      <c r="AQ20" s="223">
        <v>74236500</v>
      </c>
      <c r="AR20" s="226">
        <f t="shared" si="19"/>
        <v>518500</v>
      </c>
      <c r="AS20" s="224">
        <f t="shared" si="20"/>
        <v>961227.69</v>
      </c>
      <c r="AT20" s="223">
        <v>0</v>
      </c>
      <c r="AU20" s="223">
        <v>466494320.04000002</v>
      </c>
      <c r="AV20" s="223">
        <v>0</v>
      </c>
      <c r="AW20" s="223">
        <v>38383988.450000003</v>
      </c>
      <c r="AX20" s="226">
        <f t="shared" si="21"/>
        <v>0</v>
      </c>
      <c r="AY20" s="224">
        <f t="shared" si="22"/>
        <v>504878.30849000002</v>
      </c>
      <c r="AZ20" s="224">
        <f t="shared" si="23"/>
        <v>866629.69</v>
      </c>
      <c r="BA20" s="224">
        <f t="shared" si="1"/>
        <v>455731.00771000003</v>
      </c>
      <c r="BB20" s="224">
        <f t="shared" si="24"/>
        <v>52.586590670578119</v>
      </c>
      <c r="BC20" s="223">
        <v>0</v>
      </c>
      <c r="BD20" s="223">
        <v>126902000</v>
      </c>
      <c r="BE20" s="223">
        <v>0</v>
      </c>
      <c r="BF20" s="223">
        <v>25744430.350000001</v>
      </c>
      <c r="BG20" s="224">
        <f t="shared" si="25"/>
        <v>152646.43034999998</v>
      </c>
      <c r="BH20" s="223">
        <v>0</v>
      </c>
      <c r="BI20" s="223">
        <v>62023386.729999997</v>
      </c>
      <c r="BJ20" s="223">
        <v>0</v>
      </c>
      <c r="BK20" s="223">
        <v>8706787.1099999994</v>
      </c>
      <c r="BL20" s="224">
        <f t="shared" si="26"/>
        <v>70730.173840000003</v>
      </c>
      <c r="BM20" s="227"/>
      <c r="BN20" s="227"/>
      <c r="BO20" s="227"/>
      <c r="BP20" s="224">
        <f t="shared" si="27"/>
        <v>0</v>
      </c>
      <c r="BQ20" s="227"/>
      <c r="BR20" s="227"/>
      <c r="BS20" s="227"/>
      <c r="BT20" s="224">
        <f t="shared" si="28"/>
        <v>0</v>
      </c>
      <c r="BU20" s="224" t="e">
        <f t="shared" si="29"/>
        <v>#DIV/0!</v>
      </c>
      <c r="BV20" s="224">
        <v>28559.143390000001</v>
      </c>
      <c r="BW20" s="224">
        <v>5140.1649600000001</v>
      </c>
      <c r="BX20" s="227">
        <v>66961325.880000003</v>
      </c>
      <c r="BY20" s="224">
        <f t="shared" si="30"/>
        <v>66961.325880000004</v>
      </c>
      <c r="BZ20" s="227">
        <v>1785696.27</v>
      </c>
      <c r="CA20" s="224">
        <f t="shared" si="31"/>
        <v>1785.6962699999999</v>
      </c>
      <c r="CB20" s="224">
        <f t="shared" si="32"/>
        <v>38402.182490000007</v>
      </c>
      <c r="CC20" s="224">
        <f t="shared" si="33"/>
        <v>-3354.4686900000002</v>
      </c>
      <c r="CD20" s="224">
        <f t="shared" si="2"/>
        <v>-11269.85905999993</v>
      </c>
      <c r="CE20" s="224">
        <f t="shared" si="3"/>
        <v>427.03692999994382</v>
      </c>
      <c r="CF20" s="224">
        <v>0</v>
      </c>
      <c r="CG20" s="224">
        <v>0</v>
      </c>
      <c r="CH20" s="224">
        <f t="shared" si="34"/>
        <v>0</v>
      </c>
      <c r="CI20" s="223">
        <v>0</v>
      </c>
      <c r="CJ20" s="223">
        <v>885794281.28999996</v>
      </c>
      <c r="CK20" s="223">
        <v>0</v>
      </c>
      <c r="CL20" s="223">
        <v>72243250.060000002</v>
      </c>
      <c r="CM20" s="224">
        <f t="shared" si="35"/>
        <v>958037.53134999995</v>
      </c>
      <c r="CN20" s="223">
        <v>0</v>
      </c>
      <c r="CO20" s="223">
        <v>465697411.32999998</v>
      </c>
      <c r="CP20" s="223">
        <v>0</v>
      </c>
      <c r="CQ20" s="223">
        <v>36390738.509999998</v>
      </c>
      <c r="CR20" s="224">
        <f t="shared" si="36"/>
        <v>502088.14983999997</v>
      </c>
      <c r="CS20" s="228">
        <f t="shared" si="4"/>
        <v>863439.53134999995</v>
      </c>
      <c r="CT20" s="228">
        <f t="shared" si="5"/>
        <v>452940.84905999998</v>
      </c>
      <c r="CU20" s="224">
        <f t="shared" si="37"/>
        <v>52.457738221901948</v>
      </c>
      <c r="CV20" s="223">
        <v>90413500</v>
      </c>
      <c r="CW20" s="224">
        <f t="shared" si="38"/>
        <v>90413.5</v>
      </c>
      <c r="CX20" s="223">
        <v>43793516.090000004</v>
      </c>
      <c r="CY20" s="224">
        <f t="shared" si="38"/>
        <v>43793.516090000005</v>
      </c>
      <c r="DA20" s="224">
        <f t="shared" si="39"/>
        <v>0</v>
      </c>
      <c r="DC20" s="224">
        <f t="shared" si="40"/>
        <v>0</v>
      </c>
      <c r="DD20" s="224"/>
    </row>
    <row r="21" spans="1:108" x14ac:dyDescent="0.3">
      <c r="A21" s="222" t="s">
        <v>177</v>
      </c>
      <c r="B21" s="223">
        <v>0</v>
      </c>
      <c r="C21" s="223">
        <v>1052076052.89</v>
      </c>
      <c r="D21" s="223">
        <v>171657344.40000001</v>
      </c>
      <c r="E21" s="223">
        <v>151187396.06999999</v>
      </c>
      <c r="F21" s="224">
        <f t="shared" si="6"/>
        <v>1374920.79336</v>
      </c>
      <c r="G21" s="223">
        <v>0</v>
      </c>
      <c r="H21" s="223">
        <v>506147772.69999999</v>
      </c>
      <c r="I21" s="223">
        <v>56269991.979999997</v>
      </c>
      <c r="J21" s="223">
        <v>20184447.300000001</v>
      </c>
      <c r="K21" s="224">
        <f t="shared" si="7"/>
        <v>582602.21197999991</v>
      </c>
      <c r="L21" s="223">
        <v>190440363.17000002</v>
      </c>
      <c r="M21" s="223">
        <v>100000</v>
      </c>
      <c r="N21" s="223">
        <v>115000</v>
      </c>
      <c r="O21" s="224">
        <f t="shared" si="8"/>
        <v>190655.36317000003</v>
      </c>
      <c r="P21" s="223">
        <v>22495930.699999999</v>
      </c>
      <c r="Q21" s="223">
        <v>100000</v>
      </c>
      <c r="R21" s="223">
        <v>115000</v>
      </c>
      <c r="S21" s="224">
        <f t="shared" si="9"/>
        <v>22710.930700000001</v>
      </c>
      <c r="T21" s="223">
        <v>0</v>
      </c>
      <c r="U21" s="223">
        <v>1075600677.6900001</v>
      </c>
      <c r="V21" s="223">
        <v>176337079.63</v>
      </c>
      <c r="W21" s="223">
        <v>158411766.50999999</v>
      </c>
      <c r="X21" s="224">
        <f t="shared" si="10"/>
        <v>1410349.5238300001</v>
      </c>
      <c r="Y21" s="223">
        <v>0</v>
      </c>
      <c r="Z21" s="223">
        <v>517549253.76999998</v>
      </c>
      <c r="AA21" s="223">
        <v>51390682.579999998</v>
      </c>
      <c r="AB21" s="223">
        <v>23341793.300000001</v>
      </c>
      <c r="AC21" s="224">
        <f t="shared" si="11"/>
        <v>592281.72964999999</v>
      </c>
      <c r="AD21" s="224">
        <f t="shared" si="12"/>
        <v>1184265.43019</v>
      </c>
      <c r="AE21" s="224">
        <f t="shared" si="13"/>
        <v>559891.28127999988</v>
      </c>
      <c r="AF21" s="224">
        <f t="shared" si="14"/>
        <v>47.277516256653087</v>
      </c>
      <c r="AG21" s="225">
        <v>1184265</v>
      </c>
      <c r="AH21" s="225">
        <f t="shared" si="15"/>
        <v>-0.4301899999845773</v>
      </c>
      <c r="AI21" s="225">
        <v>559972</v>
      </c>
      <c r="AJ21" s="225">
        <f t="shared" si="16"/>
        <v>80.718720000120811</v>
      </c>
      <c r="AK21" s="224">
        <f t="shared" si="0"/>
        <v>1219694.1606600001</v>
      </c>
      <c r="AL21" s="224">
        <f t="shared" si="17"/>
        <v>569570.79894999997</v>
      </c>
      <c r="AM21" s="224">
        <f t="shared" si="18"/>
        <v>46.697837648234227</v>
      </c>
      <c r="AN21" s="223">
        <v>0</v>
      </c>
      <c r="AO21" s="223">
        <v>844140866.70000005</v>
      </c>
      <c r="AP21" s="223">
        <v>52679449.640000001</v>
      </c>
      <c r="AQ21" s="223">
        <v>137760913.53</v>
      </c>
      <c r="AR21" s="226">
        <f t="shared" si="19"/>
        <v>0</v>
      </c>
      <c r="AS21" s="224">
        <f t="shared" si="20"/>
        <v>1034581.22987</v>
      </c>
      <c r="AT21" s="223">
        <v>0</v>
      </c>
      <c r="AU21" s="223">
        <v>412424387.51999998</v>
      </c>
      <c r="AV21" s="223">
        <v>6403885.5899999999</v>
      </c>
      <c r="AW21" s="223">
        <v>16010920.109999999</v>
      </c>
      <c r="AX21" s="226">
        <f t="shared" si="21"/>
        <v>81125</v>
      </c>
      <c r="AY21" s="224">
        <f t="shared" si="22"/>
        <v>434839.19321999996</v>
      </c>
      <c r="AZ21" s="224">
        <f t="shared" si="23"/>
        <v>843925.86670000001</v>
      </c>
      <c r="BA21" s="224">
        <f t="shared" si="1"/>
        <v>412128.26251999993</v>
      </c>
      <c r="BB21" s="224">
        <f t="shared" si="24"/>
        <v>48.834652281905214</v>
      </c>
      <c r="BC21" s="223">
        <v>0</v>
      </c>
      <c r="BD21" s="223">
        <v>210614700</v>
      </c>
      <c r="BE21" s="223">
        <v>120469509.95999999</v>
      </c>
      <c r="BF21" s="223">
        <v>13426811.310000001</v>
      </c>
      <c r="BG21" s="224">
        <f t="shared" si="25"/>
        <v>344511.02126999997</v>
      </c>
      <c r="BH21" s="223">
        <v>0</v>
      </c>
      <c r="BI21" s="223">
        <v>96402898.989999995</v>
      </c>
      <c r="BJ21" s="223">
        <v>51343721.590000004</v>
      </c>
      <c r="BK21" s="223">
        <v>4173855.96</v>
      </c>
      <c r="BL21" s="224">
        <f t="shared" si="26"/>
        <v>151920.47654</v>
      </c>
      <c r="BM21" s="227"/>
      <c r="BN21" s="227"/>
      <c r="BO21" s="227"/>
      <c r="BP21" s="224">
        <f t="shared" si="27"/>
        <v>0</v>
      </c>
      <c r="BQ21" s="227"/>
      <c r="BR21" s="227"/>
      <c r="BS21" s="227"/>
      <c r="BT21" s="224">
        <f t="shared" si="28"/>
        <v>0</v>
      </c>
      <c r="BU21" s="224" t="e">
        <f t="shared" si="29"/>
        <v>#DIV/0!</v>
      </c>
      <c r="BV21" s="224">
        <v>19955.794190000001</v>
      </c>
      <c r="BW21" s="224">
        <v>7517.8041700000003</v>
      </c>
      <c r="BX21" s="227">
        <v>91579567.859999999</v>
      </c>
      <c r="BY21" s="224">
        <f t="shared" si="30"/>
        <v>91579.567859999996</v>
      </c>
      <c r="BZ21" s="227">
        <v>2288870.0299999998</v>
      </c>
      <c r="CA21" s="224">
        <f t="shared" si="31"/>
        <v>2288.8700299999996</v>
      </c>
      <c r="CB21" s="224">
        <f t="shared" si="32"/>
        <v>71623.773669999995</v>
      </c>
      <c r="CC21" s="224">
        <f t="shared" si="33"/>
        <v>-5228.9341400000012</v>
      </c>
      <c r="CD21" s="224">
        <f t="shared" si="2"/>
        <v>-35428.730470000068</v>
      </c>
      <c r="CE21" s="224">
        <f t="shared" si="3"/>
        <v>-9679.5176700000884</v>
      </c>
      <c r="CF21" s="224">
        <v>97000</v>
      </c>
      <c r="CG21" s="224">
        <v>81000</v>
      </c>
      <c r="CH21" s="224">
        <f t="shared" si="34"/>
        <v>-16000</v>
      </c>
      <c r="CI21" s="223">
        <v>0</v>
      </c>
      <c r="CJ21" s="223">
        <v>841461352.88999999</v>
      </c>
      <c r="CK21" s="223">
        <v>51187834.439999998</v>
      </c>
      <c r="CL21" s="223">
        <v>137760584.75999999</v>
      </c>
      <c r="CM21" s="224">
        <f t="shared" si="35"/>
        <v>1030409.7720899999</v>
      </c>
      <c r="CN21" s="223">
        <v>0</v>
      </c>
      <c r="CO21" s="223">
        <v>409744873.70999998</v>
      </c>
      <c r="CP21" s="223">
        <v>4926270.3899999997</v>
      </c>
      <c r="CQ21" s="223">
        <v>16010591.34</v>
      </c>
      <c r="CR21" s="224">
        <f t="shared" si="36"/>
        <v>430681.73543999996</v>
      </c>
      <c r="CS21" s="228">
        <f t="shared" si="4"/>
        <v>839754.40891999984</v>
      </c>
      <c r="CT21" s="228">
        <f t="shared" si="5"/>
        <v>407970.80473999993</v>
      </c>
      <c r="CU21" s="224">
        <f t="shared" si="37"/>
        <v>48.582156926652793</v>
      </c>
      <c r="CV21" s="223">
        <v>193256800</v>
      </c>
      <c r="CW21" s="224">
        <f t="shared" si="38"/>
        <v>193256.8</v>
      </c>
      <c r="CX21" s="223">
        <v>90833652.959999993</v>
      </c>
      <c r="CY21" s="224">
        <f t="shared" si="38"/>
        <v>90833.652959999992</v>
      </c>
      <c r="DA21" s="224">
        <f t="shared" si="39"/>
        <v>0</v>
      </c>
      <c r="DC21" s="224">
        <f t="shared" si="40"/>
        <v>0</v>
      </c>
      <c r="DD21" s="229" t="e">
        <f t="shared" si="41"/>
        <v>#DIV/0!</v>
      </c>
    </row>
    <row r="22" spans="1:108" x14ac:dyDescent="0.3">
      <c r="A22" s="222" t="s">
        <v>178</v>
      </c>
      <c r="B22" s="223">
        <v>0</v>
      </c>
      <c r="C22" s="223">
        <v>1115009123.97</v>
      </c>
      <c r="D22" s="223">
        <v>0</v>
      </c>
      <c r="E22" s="223">
        <v>443286300.02999997</v>
      </c>
      <c r="F22" s="224">
        <f t="shared" si="6"/>
        <v>1558295.4240000001</v>
      </c>
      <c r="G22" s="223">
        <v>0</v>
      </c>
      <c r="H22" s="223">
        <v>479833646.56</v>
      </c>
      <c r="I22" s="223">
        <v>0</v>
      </c>
      <c r="J22" s="223">
        <v>103585329.89</v>
      </c>
      <c r="K22" s="224">
        <f t="shared" si="7"/>
        <v>583418.97645000007</v>
      </c>
      <c r="L22" s="223">
        <v>377043084.92000002</v>
      </c>
      <c r="M22" s="223">
        <v>0</v>
      </c>
      <c r="N22" s="223">
        <v>4435373.49</v>
      </c>
      <c r="O22" s="224">
        <f t="shared" si="8"/>
        <v>381478.45841000002</v>
      </c>
      <c r="P22" s="223">
        <v>73479335.480000004</v>
      </c>
      <c r="Q22" s="223">
        <v>0</v>
      </c>
      <c r="R22" s="223">
        <v>2416643.85</v>
      </c>
      <c r="S22" s="224">
        <f t="shared" si="9"/>
        <v>75895.979330000002</v>
      </c>
      <c r="T22" s="223">
        <v>0</v>
      </c>
      <c r="U22" s="223">
        <v>1170200113.3399999</v>
      </c>
      <c r="V22" s="223">
        <v>0</v>
      </c>
      <c r="W22" s="223">
        <v>469612888.19999999</v>
      </c>
      <c r="X22" s="224">
        <f t="shared" si="10"/>
        <v>1639813.0015399999</v>
      </c>
      <c r="Y22" s="223">
        <v>0</v>
      </c>
      <c r="Z22" s="223">
        <v>476883358.87</v>
      </c>
      <c r="AA22" s="223">
        <v>0</v>
      </c>
      <c r="AB22" s="223">
        <v>112797473.77</v>
      </c>
      <c r="AC22" s="224">
        <f t="shared" si="11"/>
        <v>589680.83264000004</v>
      </c>
      <c r="AD22" s="224">
        <f t="shared" si="12"/>
        <v>1176816.9655900002</v>
      </c>
      <c r="AE22" s="224">
        <f t="shared" si="13"/>
        <v>507522.99712000007</v>
      </c>
      <c r="AF22" s="224">
        <f t="shared" si="14"/>
        <v>43.126757342893349</v>
      </c>
      <c r="AG22" s="225">
        <v>1176817</v>
      </c>
      <c r="AH22" s="225">
        <f t="shared" si="15"/>
        <v>3.4409999847412109E-2</v>
      </c>
      <c r="AI22" s="225">
        <v>507523</v>
      </c>
      <c r="AJ22" s="225">
        <f t="shared" si="16"/>
        <v>2.8799999272450805E-3</v>
      </c>
      <c r="AK22" s="224">
        <f t="shared" si="0"/>
        <v>1258334.5431299999</v>
      </c>
      <c r="AL22" s="224">
        <f t="shared" si="17"/>
        <v>513784.85331000003</v>
      </c>
      <c r="AM22" s="224">
        <f t="shared" si="18"/>
        <v>40.830545113384872</v>
      </c>
      <c r="AN22" s="223">
        <v>0</v>
      </c>
      <c r="AO22" s="223">
        <v>858450295.86000001</v>
      </c>
      <c r="AP22" s="223">
        <v>0</v>
      </c>
      <c r="AQ22" s="223">
        <v>377043084.92000002</v>
      </c>
      <c r="AR22" s="226">
        <f t="shared" si="19"/>
        <v>0</v>
      </c>
      <c r="AS22" s="224">
        <f t="shared" si="20"/>
        <v>1235493.38078</v>
      </c>
      <c r="AT22" s="223">
        <v>0</v>
      </c>
      <c r="AU22" s="223">
        <v>337412986.17000002</v>
      </c>
      <c r="AV22" s="223">
        <v>0</v>
      </c>
      <c r="AW22" s="223">
        <v>73479335.480000004</v>
      </c>
      <c r="AX22" s="226">
        <f t="shared" si="21"/>
        <v>0</v>
      </c>
      <c r="AY22" s="224">
        <f t="shared" si="22"/>
        <v>410892.32165000006</v>
      </c>
      <c r="AZ22" s="224">
        <f t="shared" si="23"/>
        <v>854014.92237000004</v>
      </c>
      <c r="BA22" s="224">
        <f t="shared" si="1"/>
        <v>334996.34232000005</v>
      </c>
      <c r="BB22" s="224">
        <f t="shared" si="24"/>
        <v>39.226052560105458</v>
      </c>
      <c r="BC22" s="223">
        <v>0</v>
      </c>
      <c r="BD22" s="223">
        <v>244674500</v>
      </c>
      <c r="BE22" s="223">
        <v>0</v>
      </c>
      <c r="BF22" s="223">
        <v>64718643.399999999</v>
      </c>
      <c r="BG22" s="224">
        <f t="shared" si="25"/>
        <v>309393.1434</v>
      </c>
      <c r="BH22" s="223">
        <v>0</v>
      </c>
      <c r="BI22" s="223">
        <v>130592706.92</v>
      </c>
      <c r="BJ22" s="223">
        <v>0</v>
      </c>
      <c r="BK22" s="223">
        <v>28564422.699999999</v>
      </c>
      <c r="BL22" s="224">
        <f t="shared" si="26"/>
        <v>159157.12961999999</v>
      </c>
      <c r="BM22" s="227"/>
      <c r="BN22" s="227"/>
      <c r="BO22" s="227"/>
      <c r="BP22" s="224">
        <f t="shared" si="27"/>
        <v>0</v>
      </c>
      <c r="BQ22" s="227"/>
      <c r="BR22" s="227"/>
      <c r="BS22" s="227"/>
      <c r="BT22" s="224">
        <f t="shared" si="28"/>
        <v>0</v>
      </c>
      <c r="BU22" s="229" t="e">
        <f t="shared" si="29"/>
        <v>#DIV/0!</v>
      </c>
      <c r="BV22" s="224">
        <v>102610.53202</v>
      </c>
      <c r="BW22" s="224">
        <v>4464.2456299999994</v>
      </c>
      <c r="BX22" s="227">
        <v>90964290.959999993</v>
      </c>
      <c r="BY22" s="224">
        <f t="shared" si="30"/>
        <v>90964.290959999998</v>
      </c>
      <c r="BZ22" s="227">
        <v>2097727.5299999998</v>
      </c>
      <c r="CA22" s="224">
        <f t="shared" si="31"/>
        <v>2097.7275299999997</v>
      </c>
      <c r="CB22" s="224">
        <f t="shared" si="32"/>
        <v>-11646.24106</v>
      </c>
      <c r="CC22" s="224">
        <f t="shared" si="33"/>
        <v>-2366.5180999999998</v>
      </c>
      <c r="CD22" s="224">
        <f t="shared" si="2"/>
        <v>-81517.577539999736</v>
      </c>
      <c r="CE22" s="224">
        <f t="shared" si="3"/>
        <v>-6261.8561899999622</v>
      </c>
      <c r="CF22" s="224">
        <v>20000</v>
      </c>
      <c r="CG22" s="224">
        <v>0</v>
      </c>
      <c r="CH22" s="224">
        <f t="shared" si="34"/>
        <v>-20000</v>
      </c>
      <c r="CI22" s="223">
        <v>0</v>
      </c>
      <c r="CJ22" s="223">
        <v>870334623.97000003</v>
      </c>
      <c r="CK22" s="223">
        <v>0</v>
      </c>
      <c r="CL22" s="223">
        <v>378567656.63</v>
      </c>
      <c r="CM22" s="224">
        <f t="shared" si="35"/>
        <v>1248902.2805999999</v>
      </c>
      <c r="CN22" s="223">
        <v>0</v>
      </c>
      <c r="CO22" s="223">
        <v>349240939.63999999</v>
      </c>
      <c r="CP22" s="223">
        <v>0</v>
      </c>
      <c r="CQ22" s="223">
        <v>75020907.189999998</v>
      </c>
      <c r="CR22" s="224">
        <f t="shared" si="36"/>
        <v>424261.84682999999</v>
      </c>
      <c r="CS22" s="228">
        <f t="shared" si="4"/>
        <v>867423.82218999998</v>
      </c>
      <c r="CT22" s="228">
        <f t="shared" si="5"/>
        <v>348365.86749999999</v>
      </c>
      <c r="CU22" s="224">
        <f t="shared" si="37"/>
        <v>40.160975360403945</v>
      </c>
      <c r="CV22" s="223">
        <v>182927000</v>
      </c>
      <c r="CW22" s="224">
        <f t="shared" si="38"/>
        <v>182927</v>
      </c>
      <c r="CX22" s="223">
        <v>99064436.760000005</v>
      </c>
      <c r="CY22" s="224">
        <f t="shared" si="38"/>
        <v>99064.436760000011</v>
      </c>
      <c r="DA22" s="224">
        <f t="shared" si="39"/>
        <v>0</v>
      </c>
      <c r="DC22" s="224">
        <f t="shared" si="40"/>
        <v>0</v>
      </c>
      <c r="DD22" s="224"/>
    </row>
    <row r="23" spans="1:108" x14ac:dyDescent="0.3">
      <c r="A23" s="222" t="s">
        <v>179</v>
      </c>
      <c r="B23" s="223">
        <v>0</v>
      </c>
      <c r="C23" s="223">
        <v>935073986.33000004</v>
      </c>
      <c r="D23" s="223">
        <v>66900083.789999999</v>
      </c>
      <c r="E23" s="223">
        <v>61085038.740000002</v>
      </c>
      <c r="F23" s="224">
        <f t="shared" si="6"/>
        <v>1063059.10886</v>
      </c>
      <c r="G23" s="223">
        <v>0</v>
      </c>
      <c r="H23" s="223">
        <v>510201664.05000001</v>
      </c>
      <c r="I23" s="223">
        <v>20839840.66</v>
      </c>
      <c r="J23" s="223">
        <v>25454713.149999999</v>
      </c>
      <c r="K23" s="224">
        <f t="shared" si="7"/>
        <v>556496.21785999998</v>
      </c>
      <c r="L23" s="223">
        <v>68787996.920000002</v>
      </c>
      <c r="M23" s="223">
        <v>101379</v>
      </c>
      <c r="N23" s="223">
        <v>119533</v>
      </c>
      <c r="O23" s="224">
        <f t="shared" si="8"/>
        <v>69008.908920000002</v>
      </c>
      <c r="P23" s="223">
        <v>24287845.75</v>
      </c>
      <c r="Q23" s="223">
        <v>21771</v>
      </c>
      <c r="R23" s="223">
        <v>55585</v>
      </c>
      <c r="S23" s="224">
        <f t="shared" si="9"/>
        <v>24365.20175</v>
      </c>
      <c r="T23" s="223">
        <v>0</v>
      </c>
      <c r="U23" s="223">
        <v>945934545.50999999</v>
      </c>
      <c r="V23" s="223">
        <v>90833571.290000007</v>
      </c>
      <c r="W23" s="223">
        <v>68779572.379999995</v>
      </c>
      <c r="X23" s="224">
        <f t="shared" si="10"/>
        <v>1105547.6891799998</v>
      </c>
      <c r="Y23" s="223">
        <v>0</v>
      </c>
      <c r="Z23" s="223">
        <v>531592677.93000001</v>
      </c>
      <c r="AA23" s="223">
        <v>38825993.43</v>
      </c>
      <c r="AB23" s="223">
        <v>29423046.010000002</v>
      </c>
      <c r="AC23" s="224">
        <f t="shared" si="11"/>
        <v>599841.71736999997</v>
      </c>
      <c r="AD23" s="224">
        <f t="shared" si="12"/>
        <v>994050.19994000008</v>
      </c>
      <c r="AE23" s="224">
        <f t="shared" si="13"/>
        <v>532131.01610999997</v>
      </c>
      <c r="AF23" s="224">
        <f t="shared" si="14"/>
        <v>53.531603951401941</v>
      </c>
      <c r="AG23" s="225">
        <v>994050</v>
      </c>
      <c r="AH23" s="225">
        <f t="shared" si="15"/>
        <v>-0.19994000007864088</v>
      </c>
      <c r="AI23" s="225">
        <v>532131</v>
      </c>
      <c r="AJ23" s="225">
        <f t="shared" si="16"/>
        <v>-1.6109999967738986E-2</v>
      </c>
      <c r="AK23" s="224">
        <f t="shared" si="0"/>
        <v>1036538.7802599998</v>
      </c>
      <c r="AL23" s="224">
        <f t="shared" si="17"/>
        <v>575476.51561999996</v>
      </c>
      <c r="AM23" s="229">
        <f t="shared" si="18"/>
        <v>55.519053081221962</v>
      </c>
      <c r="AN23" s="223">
        <v>0</v>
      </c>
      <c r="AO23" s="223">
        <v>759997245.80999994</v>
      </c>
      <c r="AP23" s="223">
        <v>25966380.789999999</v>
      </c>
      <c r="AQ23" s="223">
        <v>42821616.130000003</v>
      </c>
      <c r="AR23" s="226">
        <f t="shared" si="19"/>
        <v>0</v>
      </c>
      <c r="AS23" s="224">
        <f t="shared" si="20"/>
        <v>828785.24272999994</v>
      </c>
      <c r="AT23" s="223">
        <v>0</v>
      </c>
      <c r="AU23" s="223">
        <v>425034613.13</v>
      </c>
      <c r="AV23" s="223">
        <v>4288081.09</v>
      </c>
      <c r="AW23" s="223">
        <v>19999764.66</v>
      </c>
      <c r="AX23" s="226">
        <f t="shared" si="21"/>
        <v>0</v>
      </c>
      <c r="AY23" s="224">
        <f t="shared" si="22"/>
        <v>449322.45887999999</v>
      </c>
      <c r="AZ23" s="224">
        <f t="shared" si="23"/>
        <v>759776.33380999998</v>
      </c>
      <c r="BA23" s="224">
        <f t="shared" si="1"/>
        <v>424957.25712999998</v>
      </c>
      <c r="BB23" s="224">
        <f t="shared" si="24"/>
        <v>55.931889191519694</v>
      </c>
      <c r="BC23" s="223">
        <v>0</v>
      </c>
      <c r="BD23" s="223">
        <v>174720256</v>
      </c>
      <c r="BE23" s="223">
        <v>41072652</v>
      </c>
      <c r="BF23" s="223">
        <v>21404019</v>
      </c>
      <c r="BG23" s="224">
        <f t="shared" si="25"/>
        <v>237196.927</v>
      </c>
      <c r="BH23" s="223">
        <v>0</v>
      </c>
      <c r="BI23" s="223">
        <v>84810566.400000006</v>
      </c>
      <c r="BJ23" s="223">
        <v>16690708.57</v>
      </c>
      <c r="BK23" s="223">
        <v>8595544.8800000008</v>
      </c>
      <c r="BL23" s="224">
        <f t="shared" si="26"/>
        <v>110096.81985</v>
      </c>
      <c r="BM23" s="227"/>
      <c r="BN23" s="227"/>
      <c r="BO23" s="227"/>
      <c r="BP23" s="224">
        <f t="shared" si="27"/>
        <v>0</v>
      </c>
      <c r="BQ23" s="227"/>
      <c r="BR23" s="227"/>
      <c r="BS23" s="227"/>
      <c r="BT23" s="224">
        <f t="shared" si="28"/>
        <v>0</v>
      </c>
      <c r="BU23" s="224" t="e">
        <f t="shared" si="29"/>
        <v>#DIV/0!</v>
      </c>
      <c r="BV23" s="224">
        <v>49063.261149999998</v>
      </c>
      <c r="BW23" s="224">
        <v>26092.269640000002</v>
      </c>
      <c r="BX23" s="227">
        <v>21525943.09</v>
      </c>
      <c r="BY23" s="224">
        <f t="shared" si="30"/>
        <v>21525.943090000001</v>
      </c>
      <c r="BZ23" s="227">
        <v>4781791.83</v>
      </c>
      <c r="CA23" s="224">
        <f t="shared" si="31"/>
        <v>4781.7918300000001</v>
      </c>
      <c r="CB23" s="224">
        <f t="shared" si="32"/>
        <v>-27537.318059999998</v>
      </c>
      <c r="CC23" s="224">
        <f t="shared" si="33"/>
        <v>-21310.477810000004</v>
      </c>
      <c r="CD23" s="224">
        <f t="shared" si="2"/>
        <v>-42488.580319999717</v>
      </c>
      <c r="CE23" s="224">
        <f t="shared" si="3"/>
        <v>-43345.499509999994</v>
      </c>
      <c r="CF23" s="224">
        <v>27600</v>
      </c>
      <c r="CG23" s="224">
        <v>13800</v>
      </c>
      <c r="CH23" s="224">
        <f t="shared" si="34"/>
        <v>-13800</v>
      </c>
      <c r="CI23" s="223">
        <v>0</v>
      </c>
      <c r="CJ23" s="223">
        <v>760353730.33000004</v>
      </c>
      <c r="CK23" s="223">
        <v>25827431.789999999</v>
      </c>
      <c r="CL23" s="223">
        <v>39681019.740000002</v>
      </c>
      <c r="CM23" s="224">
        <f t="shared" si="35"/>
        <v>825862.18186000001</v>
      </c>
      <c r="CN23" s="223">
        <v>0</v>
      </c>
      <c r="CO23" s="223">
        <v>425391097.64999998</v>
      </c>
      <c r="CP23" s="223">
        <v>4149132.09</v>
      </c>
      <c r="CQ23" s="223">
        <v>16859168.27</v>
      </c>
      <c r="CR23" s="224">
        <f t="shared" si="36"/>
        <v>446399.39800999995</v>
      </c>
      <c r="CS23" s="228">
        <f t="shared" si="4"/>
        <v>756853.27294000005</v>
      </c>
      <c r="CT23" s="228">
        <f t="shared" si="5"/>
        <v>422034.19625999994</v>
      </c>
      <c r="CU23" s="224">
        <f t="shared" si="37"/>
        <v>55.761692701757916</v>
      </c>
      <c r="CV23" s="223">
        <v>123026120</v>
      </c>
      <c r="CW23" s="224">
        <f t="shared" si="38"/>
        <v>123026.12</v>
      </c>
      <c r="CX23" s="223">
        <v>61452117.920000002</v>
      </c>
      <c r="CY23" s="224">
        <f t="shared" si="38"/>
        <v>61452.117920000004</v>
      </c>
      <c r="DA23" s="224">
        <f t="shared" si="39"/>
        <v>0</v>
      </c>
      <c r="DC23" s="224">
        <f t="shared" si="40"/>
        <v>0</v>
      </c>
      <c r="DD23" s="224" t="e">
        <f t="shared" si="41"/>
        <v>#DIV/0!</v>
      </c>
    </row>
    <row r="24" spans="1:108" x14ac:dyDescent="0.3">
      <c r="A24" s="222" t="s">
        <v>180</v>
      </c>
      <c r="B24" s="223">
        <v>0</v>
      </c>
      <c r="C24" s="223">
        <v>984468188.96000004</v>
      </c>
      <c r="D24" s="223">
        <v>0</v>
      </c>
      <c r="E24" s="223">
        <v>148291486.81</v>
      </c>
      <c r="F24" s="224">
        <f t="shared" si="6"/>
        <v>1132759.6757700001</v>
      </c>
      <c r="G24" s="223">
        <v>0</v>
      </c>
      <c r="H24" s="223">
        <v>515779533.57999998</v>
      </c>
      <c r="I24" s="223">
        <v>0</v>
      </c>
      <c r="J24" s="223">
        <v>-18713215.59</v>
      </c>
      <c r="K24" s="224">
        <f t="shared" si="7"/>
        <v>497066.31799000001</v>
      </c>
      <c r="L24" s="223">
        <v>190054074.16000003</v>
      </c>
      <c r="M24" s="223">
        <v>0</v>
      </c>
      <c r="N24" s="223">
        <v>67000</v>
      </c>
      <c r="O24" s="224">
        <f t="shared" si="8"/>
        <v>190121.07416000002</v>
      </c>
      <c r="P24" s="223">
        <v>46787251.509999998</v>
      </c>
      <c r="Q24" s="223">
        <v>0</v>
      </c>
      <c r="R24" s="223">
        <v>62000</v>
      </c>
      <c r="S24" s="224">
        <f t="shared" si="9"/>
        <v>46849.251509999995</v>
      </c>
      <c r="T24" s="223">
        <v>0</v>
      </c>
      <c r="U24" s="223">
        <v>1000098273.4400001</v>
      </c>
      <c r="V24" s="223">
        <v>0</v>
      </c>
      <c r="W24" s="223">
        <v>250091509.37</v>
      </c>
      <c r="X24" s="224">
        <f t="shared" si="10"/>
        <v>1250189.78281</v>
      </c>
      <c r="Y24" s="223">
        <v>0</v>
      </c>
      <c r="Z24" s="223">
        <v>511830472.07999998</v>
      </c>
      <c r="AA24" s="223">
        <v>0</v>
      </c>
      <c r="AB24" s="223">
        <v>75339500.049999997</v>
      </c>
      <c r="AC24" s="224">
        <f t="shared" si="11"/>
        <v>587169.97213000001</v>
      </c>
      <c r="AD24" s="224">
        <f t="shared" si="12"/>
        <v>942638.60161000001</v>
      </c>
      <c r="AE24" s="224">
        <f t="shared" si="13"/>
        <v>450217.06648000004</v>
      </c>
      <c r="AF24" s="224">
        <f t="shared" si="14"/>
        <v>47.761365353704178</v>
      </c>
      <c r="AG24" s="225">
        <v>942639</v>
      </c>
      <c r="AH24" s="225">
        <f t="shared" si="15"/>
        <v>0.39838999998755753</v>
      </c>
      <c r="AI24" s="225">
        <v>450217</v>
      </c>
      <c r="AJ24" s="225">
        <f t="shared" si="16"/>
        <v>-6.6480000037699938E-2</v>
      </c>
      <c r="AK24" s="224">
        <f t="shared" si="0"/>
        <v>1060068.7086499999</v>
      </c>
      <c r="AL24" s="224">
        <f t="shared" si="17"/>
        <v>540320.72062000004</v>
      </c>
      <c r="AM24" s="224">
        <f t="shared" si="18"/>
        <v>50.970349017102841</v>
      </c>
      <c r="AN24" s="223">
        <v>0</v>
      </c>
      <c r="AO24" s="223">
        <v>854063489.42999995</v>
      </c>
      <c r="AP24" s="223">
        <v>0</v>
      </c>
      <c r="AQ24" s="223">
        <v>190054074.16</v>
      </c>
      <c r="AR24" s="226">
        <f t="shared" si="19"/>
        <v>0</v>
      </c>
      <c r="AS24" s="224">
        <f t="shared" si="20"/>
        <v>1044117.5635899999</v>
      </c>
      <c r="AT24" s="223">
        <v>0</v>
      </c>
      <c r="AU24" s="223">
        <v>445589958.39999998</v>
      </c>
      <c r="AV24" s="223">
        <v>0</v>
      </c>
      <c r="AW24" s="223">
        <v>46787251.509999998</v>
      </c>
      <c r="AX24" s="226">
        <f t="shared" si="21"/>
        <v>0</v>
      </c>
      <c r="AY24" s="224">
        <f t="shared" si="22"/>
        <v>492377.20990999998</v>
      </c>
      <c r="AZ24" s="224">
        <f t="shared" si="23"/>
        <v>853996.48942999984</v>
      </c>
      <c r="BA24" s="224">
        <f t="shared" si="1"/>
        <v>445527.9584</v>
      </c>
      <c r="BB24" s="224">
        <f t="shared" si="24"/>
        <v>52.169764620152911</v>
      </c>
      <c r="BC24" s="223">
        <v>0</v>
      </c>
      <c r="BD24" s="223">
        <v>130446000</v>
      </c>
      <c r="BE24" s="223">
        <v>0</v>
      </c>
      <c r="BF24" s="223">
        <v>36818272.479999997</v>
      </c>
      <c r="BG24" s="224">
        <f t="shared" si="25"/>
        <v>167264.27247999999</v>
      </c>
      <c r="BH24" s="223">
        <v>0</v>
      </c>
      <c r="BI24" s="223">
        <v>70230875.650000006</v>
      </c>
      <c r="BJ24" s="223">
        <v>0</v>
      </c>
      <c r="BK24" s="223">
        <v>13080392.73</v>
      </c>
      <c r="BL24" s="224">
        <f t="shared" si="26"/>
        <v>83311.268380000009</v>
      </c>
      <c r="BM24" s="227"/>
      <c r="BN24" s="227"/>
      <c r="BO24" s="227"/>
      <c r="BP24" s="224">
        <f t="shared" si="27"/>
        <v>0</v>
      </c>
      <c r="BQ24" s="227"/>
      <c r="BR24" s="227"/>
      <c r="BS24" s="227"/>
      <c r="BT24" s="224">
        <f t="shared" si="28"/>
        <v>0</v>
      </c>
      <c r="BU24" s="224" t="e">
        <f t="shared" si="29"/>
        <v>#DIV/0!</v>
      </c>
      <c r="BV24" s="224">
        <v>141318.52515</v>
      </c>
      <c r="BW24" s="224">
        <v>104500.92543</v>
      </c>
      <c r="BX24" s="227">
        <v>106164750.70999999</v>
      </c>
      <c r="BY24" s="224">
        <f t="shared" si="30"/>
        <v>106164.75070999999</v>
      </c>
      <c r="BZ24" s="227">
        <v>8915982.2599999998</v>
      </c>
      <c r="CA24" s="224">
        <f t="shared" si="31"/>
        <v>8915.9822600000007</v>
      </c>
      <c r="CB24" s="224">
        <f t="shared" si="32"/>
        <v>-35153.774440000008</v>
      </c>
      <c r="CC24" s="224">
        <f t="shared" si="33"/>
        <v>-95584.943169999999</v>
      </c>
      <c r="CD24" s="224">
        <f t="shared" si="2"/>
        <v>-117430.10703999992</v>
      </c>
      <c r="CE24" s="224">
        <f t="shared" si="3"/>
        <v>-90103.654139999999</v>
      </c>
      <c r="CF24" s="224">
        <v>0</v>
      </c>
      <c r="CG24" s="228">
        <v>0</v>
      </c>
      <c r="CH24" s="224">
        <f t="shared" si="34"/>
        <v>0</v>
      </c>
      <c r="CI24" s="223">
        <v>0</v>
      </c>
      <c r="CJ24" s="223">
        <v>854022188.96000004</v>
      </c>
      <c r="CK24" s="223">
        <v>0</v>
      </c>
      <c r="CL24" s="223">
        <v>111473214.33</v>
      </c>
      <c r="CM24" s="224">
        <f t="shared" si="35"/>
        <v>965495.40329000005</v>
      </c>
      <c r="CN24" s="223">
        <v>0</v>
      </c>
      <c r="CO24" s="223">
        <v>445548657.93000001</v>
      </c>
      <c r="CP24" s="223">
        <v>0</v>
      </c>
      <c r="CQ24" s="223">
        <v>-31793608.32</v>
      </c>
      <c r="CR24" s="224">
        <f t="shared" si="36"/>
        <v>413755.04960999999</v>
      </c>
      <c r="CS24" s="228">
        <f t="shared" si="4"/>
        <v>775374.32912999997</v>
      </c>
      <c r="CT24" s="228">
        <f t="shared" si="5"/>
        <v>366905.79810000001</v>
      </c>
      <c r="CU24" s="224">
        <f t="shared" si="37"/>
        <v>47.319827896763428</v>
      </c>
      <c r="CV24" s="223">
        <v>81720000</v>
      </c>
      <c r="CW24" s="224">
        <f t="shared" si="38"/>
        <v>81720</v>
      </c>
      <c r="CX24" s="223">
        <v>36684730.719999999</v>
      </c>
      <c r="CY24" s="224">
        <f t="shared" si="38"/>
        <v>36684.73072</v>
      </c>
      <c r="DA24" s="224">
        <f t="shared" si="39"/>
        <v>0</v>
      </c>
      <c r="DC24" s="224">
        <f t="shared" si="40"/>
        <v>0</v>
      </c>
      <c r="DD24" s="224"/>
    </row>
    <row r="25" spans="1:108" x14ac:dyDescent="0.3">
      <c r="A25" s="222" t="s">
        <v>181</v>
      </c>
      <c r="B25" s="223">
        <v>0</v>
      </c>
      <c r="C25" s="223">
        <v>366326086.94</v>
      </c>
      <c r="D25" s="223">
        <v>21779240.370000001</v>
      </c>
      <c r="E25" s="223">
        <v>21461340</v>
      </c>
      <c r="F25" s="224">
        <f t="shared" si="6"/>
        <v>409566.66730999999</v>
      </c>
      <c r="G25" s="223">
        <v>0</v>
      </c>
      <c r="H25" s="223">
        <v>190824797.90000001</v>
      </c>
      <c r="I25" s="223">
        <v>5890373.9400000004</v>
      </c>
      <c r="J25" s="223">
        <v>6543130.0599999996</v>
      </c>
      <c r="K25" s="224">
        <f t="shared" si="7"/>
        <v>203258.30190000002</v>
      </c>
      <c r="L25" s="223">
        <v>19967866</v>
      </c>
      <c r="M25" s="223">
        <v>178000</v>
      </c>
      <c r="N25" s="223">
        <v>90000</v>
      </c>
      <c r="O25" s="224">
        <f t="shared" si="8"/>
        <v>20235.866000000002</v>
      </c>
      <c r="P25" s="223">
        <v>5922413.46</v>
      </c>
      <c r="Q25" s="223">
        <v>89000</v>
      </c>
      <c r="R25" s="223">
        <v>34250</v>
      </c>
      <c r="S25" s="224">
        <f t="shared" si="9"/>
        <v>6045.6634599999998</v>
      </c>
      <c r="T25" s="223">
        <v>0</v>
      </c>
      <c r="U25" s="223">
        <v>370986121.04000002</v>
      </c>
      <c r="V25" s="223">
        <v>24445668.039999999</v>
      </c>
      <c r="W25" s="223">
        <v>23559785.75</v>
      </c>
      <c r="X25" s="224">
        <f t="shared" si="10"/>
        <v>418991.57483000006</v>
      </c>
      <c r="Y25" s="223">
        <v>0</v>
      </c>
      <c r="Z25" s="223">
        <v>196869349.19</v>
      </c>
      <c r="AA25" s="223">
        <v>8529734.7100000009</v>
      </c>
      <c r="AB25" s="223">
        <v>8070373.9400000004</v>
      </c>
      <c r="AC25" s="224">
        <f t="shared" si="11"/>
        <v>213469.45784000002</v>
      </c>
      <c r="AD25" s="224">
        <f t="shared" si="12"/>
        <v>389330.80131000001</v>
      </c>
      <c r="AE25" s="224">
        <f t="shared" si="13"/>
        <v>197212.63844000001</v>
      </c>
      <c r="AF25" s="224">
        <f t="shared" si="14"/>
        <v>50.654260535367143</v>
      </c>
      <c r="AG25" s="225">
        <v>389331</v>
      </c>
      <c r="AH25" s="225">
        <f t="shared" si="15"/>
        <v>0.19868999999016523</v>
      </c>
      <c r="AI25" s="225">
        <v>197213</v>
      </c>
      <c r="AJ25" s="225">
        <f t="shared" si="16"/>
        <v>0.36155999999027699</v>
      </c>
      <c r="AK25" s="224">
        <f t="shared" si="0"/>
        <v>398755.70883000008</v>
      </c>
      <c r="AL25" s="224">
        <f t="shared" si="17"/>
        <v>207423.79438000001</v>
      </c>
      <c r="AM25" s="229">
        <f t="shared" si="18"/>
        <v>52.017761698912793</v>
      </c>
      <c r="AN25" s="223">
        <v>0</v>
      </c>
      <c r="AO25" s="223">
        <v>305741986.94</v>
      </c>
      <c r="AP25" s="223">
        <v>6655000</v>
      </c>
      <c r="AQ25" s="223">
        <v>13312766</v>
      </c>
      <c r="AR25" s="226">
        <f t="shared" si="19"/>
        <v>100</v>
      </c>
      <c r="AS25" s="224">
        <f t="shared" si="20"/>
        <v>325709.75293999998</v>
      </c>
      <c r="AT25" s="223">
        <v>0</v>
      </c>
      <c r="AU25" s="223">
        <v>162608822.27000001</v>
      </c>
      <c r="AV25" s="223">
        <v>890250</v>
      </c>
      <c r="AW25" s="223">
        <v>5032163.46</v>
      </c>
      <c r="AX25" s="226">
        <f t="shared" si="21"/>
        <v>0</v>
      </c>
      <c r="AY25" s="224">
        <f t="shared" si="22"/>
        <v>168531.23573000001</v>
      </c>
      <c r="AZ25" s="224">
        <f t="shared" si="23"/>
        <v>305473.88694</v>
      </c>
      <c r="BA25" s="224">
        <f t="shared" si="1"/>
        <v>162485.57227</v>
      </c>
      <c r="BB25" s="224">
        <f t="shared" si="24"/>
        <v>53.191313305911081</v>
      </c>
      <c r="BC25" s="223">
        <v>0</v>
      </c>
      <c r="BD25" s="223">
        <v>60584100</v>
      </c>
      <c r="BE25" s="223">
        <v>16776590.369999999</v>
      </c>
      <c r="BF25" s="223">
        <v>8148574</v>
      </c>
      <c r="BG25" s="224">
        <f t="shared" si="25"/>
        <v>85509.264370000004</v>
      </c>
      <c r="BH25" s="223">
        <v>0</v>
      </c>
      <c r="BI25" s="223">
        <v>28215975.629999999</v>
      </c>
      <c r="BJ25" s="223">
        <v>6652473.9400000004</v>
      </c>
      <c r="BK25" s="223">
        <v>1510966.6</v>
      </c>
      <c r="BL25" s="224">
        <f t="shared" si="26"/>
        <v>36379.416170000004</v>
      </c>
      <c r="BM25" s="227"/>
      <c r="BN25" s="227"/>
      <c r="BO25" s="227"/>
      <c r="BP25" s="224">
        <f t="shared" si="27"/>
        <v>0</v>
      </c>
      <c r="BQ25" s="227"/>
      <c r="BR25" s="227"/>
      <c r="BS25" s="227"/>
      <c r="BT25" s="224">
        <f t="shared" si="28"/>
        <v>0</v>
      </c>
      <c r="BU25" s="224" t="e">
        <f t="shared" si="29"/>
        <v>#DIV/0!</v>
      </c>
      <c r="BV25" s="224">
        <v>34183.412499999999</v>
      </c>
      <c r="BW25" s="224">
        <v>2106.15</v>
      </c>
      <c r="BX25" s="227">
        <v>52309571.189999998</v>
      </c>
      <c r="BY25" s="224">
        <f t="shared" si="30"/>
        <v>52309.571189999995</v>
      </c>
      <c r="BZ25" s="227">
        <v>585742.4</v>
      </c>
      <c r="CA25" s="224">
        <f t="shared" si="31"/>
        <v>585.74239999999998</v>
      </c>
      <c r="CB25" s="224">
        <f t="shared" si="32"/>
        <v>18126.158689999997</v>
      </c>
      <c r="CC25" s="224">
        <f t="shared" si="33"/>
        <v>-1520.4076</v>
      </c>
      <c r="CD25" s="224">
        <f t="shared" si="2"/>
        <v>-9424.9075200000661</v>
      </c>
      <c r="CE25" s="224">
        <f t="shared" si="3"/>
        <v>-10211.155939999997</v>
      </c>
      <c r="CF25" s="224">
        <v>0</v>
      </c>
      <c r="CG25" s="228">
        <v>0</v>
      </c>
      <c r="CH25" s="224">
        <f t="shared" si="34"/>
        <v>0</v>
      </c>
      <c r="CI25" s="223">
        <v>0</v>
      </c>
      <c r="CJ25" s="223">
        <v>305741986.94</v>
      </c>
      <c r="CK25" s="223">
        <v>5002650</v>
      </c>
      <c r="CL25" s="223">
        <v>13312766</v>
      </c>
      <c r="CM25" s="224">
        <f t="shared" si="35"/>
        <v>324057.40294</v>
      </c>
      <c r="CN25" s="223">
        <v>0</v>
      </c>
      <c r="CO25" s="223">
        <v>162608822.27000001</v>
      </c>
      <c r="CP25" s="223">
        <v>-762100</v>
      </c>
      <c r="CQ25" s="223">
        <v>5032163.46</v>
      </c>
      <c r="CR25" s="224">
        <f t="shared" si="36"/>
        <v>166878.88573000001</v>
      </c>
      <c r="CS25" s="228">
        <f t="shared" si="4"/>
        <v>303821.53694000002</v>
      </c>
      <c r="CT25" s="228">
        <f t="shared" si="5"/>
        <v>160833.22227</v>
      </c>
      <c r="CU25" s="224">
        <f t="shared" si="37"/>
        <v>52.936741710236966</v>
      </c>
      <c r="CV25" s="223">
        <v>36056000</v>
      </c>
      <c r="CW25" s="224">
        <f t="shared" si="38"/>
        <v>36056</v>
      </c>
      <c r="CX25" s="223">
        <v>15793700.109999999</v>
      </c>
      <c r="CY25" s="224">
        <f t="shared" si="38"/>
        <v>15793.70011</v>
      </c>
      <c r="DA25" s="224">
        <f t="shared" si="39"/>
        <v>0</v>
      </c>
      <c r="DC25" s="224">
        <f t="shared" si="40"/>
        <v>0</v>
      </c>
      <c r="DD25" s="224"/>
    </row>
    <row r="26" spans="1:108" x14ac:dyDescent="0.3">
      <c r="A26" s="222" t="s">
        <v>182</v>
      </c>
      <c r="B26" s="223">
        <v>7779319940.4099998</v>
      </c>
      <c r="C26" s="223">
        <v>0</v>
      </c>
      <c r="D26" s="223">
        <v>0</v>
      </c>
      <c r="E26" s="223">
        <v>0</v>
      </c>
      <c r="F26" s="224">
        <f t="shared" si="6"/>
        <v>7779319.9404100003</v>
      </c>
      <c r="G26" s="223">
        <v>3847975585.8000002</v>
      </c>
      <c r="H26" s="223">
        <v>0</v>
      </c>
      <c r="I26" s="223">
        <v>0</v>
      </c>
      <c r="J26" s="223">
        <v>0</v>
      </c>
      <c r="K26" s="224">
        <f t="shared" si="7"/>
        <v>3847975.5858</v>
      </c>
      <c r="L26" s="223">
        <v>0</v>
      </c>
      <c r="M26" s="223">
        <v>0</v>
      </c>
      <c r="N26" s="223">
        <v>0</v>
      </c>
      <c r="O26" s="224">
        <f t="shared" si="8"/>
        <v>0</v>
      </c>
      <c r="P26" s="223">
        <v>0</v>
      </c>
      <c r="Q26" s="223">
        <v>0</v>
      </c>
      <c r="R26" s="223">
        <v>0</v>
      </c>
      <c r="S26" s="224">
        <f t="shared" si="9"/>
        <v>0</v>
      </c>
      <c r="T26" s="223">
        <v>8470753715.8699999</v>
      </c>
      <c r="U26" s="223">
        <v>0</v>
      </c>
      <c r="V26" s="223">
        <v>0</v>
      </c>
      <c r="W26" s="223">
        <v>0</v>
      </c>
      <c r="X26" s="224">
        <f t="shared" si="10"/>
        <v>8470753.7158700004</v>
      </c>
      <c r="Y26" s="223">
        <v>4077184160.96</v>
      </c>
      <c r="Z26" s="223">
        <v>0</v>
      </c>
      <c r="AA26" s="223">
        <v>0</v>
      </c>
      <c r="AB26" s="223">
        <v>0</v>
      </c>
      <c r="AC26" s="224">
        <f t="shared" si="11"/>
        <v>4077184.16096</v>
      </c>
      <c r="AD26" s="224">
        <f t="shared" si="12"/>
        <v>7779319.9404100003</v>
      </c>
      <c r="AE26" s="224">
        <f t="shared" si="13"/>
        <v>3847975.5858</v>
      </c>
      <c r="AF26" s="224">
        <f t="shared" si="14"/>
        <v>49.464164159279932</v>
      </c>
      <c r="AG26" s="225">
        <v>7779320</v>
      </c>
      <c r="AH26" s="225">
        <f t="shared" si="15"/>
        <v>5.9589999727904797E-2</v>
      </c>
      <c r="AI26" s="225">
        <v>3847976</v>
      </c>
      <c r="AJ26" s="225">
        <f t="shared" si="16"/>
        <v>0.41419999999925494</v>
      </c>
      <c r="AK26" s="224">
        <f t="shared" si="0"/>
        <v>8470753.7158700004</v>
      </c>
      <c r="AL26" s="224">
        <f t="shared" si="17"/>
        <v>4077184.16096</v>
      </c>
      <c r="AM26" s="224">
        <f t="shared" si="18"/>
        <v>48.132483810990458</v>
      </c>
      <c r="AN26" s="223">
        <v>3620003617.6900001</v>
      </c>
      <c r="AO26" s="223">
        <v>0</v>
      </c>
      <c r="AP26" s="223">
        <v>0</v>
      </c>
      <c r="AQ26" s="223">
        <v>0</v>
      </c>
      <c r="AR26" s="226">
        <f t="shared" si="19"/>
        <v>0</v>
      </c>
      <c r="AS26" s="224">
        <f t="shared" si="20"/>
        <v>3620003.6176900002</v>
      </c>
      <c r="AT26" s="223">
        <v>1906903492.6800001</v>
      </c>
      <c r="AU26" s="223">
        <v>0</v>
      </c>
      <c r="AV26" s="223">
        <v>0</v>
      </c>
      <c r="AW26" s="223">
        <v>0</v>
      </c>
      <c r="AX26" s="226">
        <f t="shared" si="21"/>
        <v>0</v>
      </c>
      <c r="AY26" s="224">
        <f t="shared" si="22"/>
        <v>1906903.4926800001</v>
      </c>
      <c r="AZ26" s="224">
        <f t="shared" si="23"/>
        <v>3620003.6176900002</v>
      </c>
      <c r="BA26" s="224">
        <f t="shared" si="1"/>
        <v>1906903.4926800001</v>
      </c>
      <c r="BB26" s="224">
        <f t="shared" si="24"/>
        <v>52.676839419758231</v>
      </c>
      <c r="BC26" s="223">
        <v>4161756123.71</v>
      </c>
      <c r="BD26" s="223">
        <v>0</v>
      </c>
      <c r="BE26" s="223">
        <v>0</v>
      </c>
      <c r="BF26" s="223">
        <v>0</v>
      </c>
      <c r="BG26" s="224">
        <f t="shared" si="25"/>
        <v>4161756.12371</v>
      </c>
      <c r="BH26" s="223">
        <v>1943511894.1099999</v>
      </c>
      <c r="BI26" s="223">
        <v>0</v>
      </c>
      <c r="BJ26" s="223">
        <v>0</v>
      </c>
      <c r="BK26" s="223">
        <v>0</v>
      </c>
      <c r="BL26" s="224">
        <f t="shared" si="26"/>
        <v>1943511.89411</v>
      </c>
      <c r="BM26" s="227"/>
      <c r="BN26" s="227"/>
      <c r="BO26" s="227"/>
      <c r="BP26" s="224">
        <f t="shared" si="27"/>
        <v>0</v>
      </c>
      <c r="BQ26" s="227"/>
      <c r="BR26" s="227"/>
      <c r="BS26" s="227"/>
      <c r="BT26" s="224">
        <f t="shared" si="28"/>
        <v>0</v>
      </c>
      <c r="BU26" s="224" t="e">
        <f t="shared" si="29"/>
        <v>#DIV/0!</v>
      </c>
      <c r="BV26" s="224">
        <v>32143.330739999998</v>
      </c>
      <c r="BW26" s="224">
        <v>277628.02480999997</v>
      </c>
      <c r="BX26" s="227">
        <v>118742755.58</v>
      </c>
      <c r="BY26" s="224">
        <f t="shared" si="30"/>
        <v>118742.75558</v>
      </c>
      <c r="BZ26" s="227">
        <v>12674267.859999999</v>
      </c>
      <c r="CA26" s="224">
        <f t="shared" si="31"/>
        <v>12674.26786</v>
      </c>
      <c r="CB26" s="224">
        <f t="shared" si="32"/>
        <v>86599.424839999992</v>
      </c>
      <c r="CC26" s="224">
        <f t="shared" si="33"/>
        <v>-264953.75694999995</v>
      </c>
      <c r="CD26" s="224">
        <f t="shared" si="2"/>
        <v>-691433.77546000015</v>
      </c>
      <c r="CE26" s="224">
        <f t="shared" si="3"/>
        <v>-229208.57516000001</v>
      </c>
      <c r="CF26" s="224">
        <v>1290000</v>
      </c>
      <c r="CG26" s="228">
        <v>1303808</v>
      </c>
      <c r="CH26" s="224">
        <f t="shared" si="34"/>
        <v>13808</v>
      </c>
      <c r="CI26" s="223">
        <v>3617563816.6999998</v>
      </c>
      <c r="CJ26" s="223">
        <v>0</v>
      </c>
      <c r="CK26" s="223">
        <v>0</v>
      </c>
      <c r="CL26" s="223">
        <v>0</v>
      </c>
      <c r="CM26" s="224">
        <f t="shared" si="35"/>
        <v>3617563.8166999999</v>
      </c>
      <c r="CN26" s="223">
        <v>1904463691.6900001</v>
      </c>
      <c r="CO26" s="223">
        <v>0</v>
      </c>
      <c r="CP26" s="223">
        <v>0</v>
      </c>
      <c r="CQ26" s="223">
        <v>0</v>
      </c>
      <c r="CR26" s="224">
        <f t="shared" si="36"/>
        <v>1904463.69169</v>
      </c>
      <c r="CS26" s="228">
        <f t="shared" si="4"/>
        <v>3617563.8166999999</v>
      </c>
      <c r="CT26" s="228">
        <f t="shared" si="5"/>
        <v>1904463.69169</v>
      </c>
      <c r="CU26" s="224">
        <f t="shared" si="37"/>
        <v>52.644923163436623</v>
      </c>
      <c r="CV26" s="223">
        <v>2587534600</v>
      </c>
      <c r="CW26" s="224">
        <f t="shared" si="38"/>
        <v>2587534.6</v>
      </c>
      <c r="CX26" s="223">
        <v>1167209055.6800001</v>
      </c>
      <c r="CY26" s="224">
        <f t="shared" si="38"/>
        <v>1167209.05568</v>
      </c>
      <c r="DA26" s="224">
        <f t="shared" si="39"/>
        <v>0</v>
      </c>
      <c r="DC26" s="224">
        <f t="shared" si="40"/>
        <v>0</v>
      </c>
      <c r="DD26" s="224" t="e">
        <f t="shared" si="41"/>
        <v>#DIV/0!</v>
      </c>
    </row>
    <row r="27" spans="1:108" x14ac:dyDescent="0.3">
      <c r="A27" s="222" t="s">
        <v>183</v>
      </c>
      <c r="B27" s="223">
        <v>5747081033.5699997</v>
      </c>
      <c r="C27" s="223">
        <v>0</v>
      </c>
      <c r="D27" s="223">
        <v>0</v>
      </c>
      <c r="E27" s="223">
        <v>0</v>
      </c>
      <c r="F27" s="224">
        <f t="shared" si="6"/>
        <v>5747081.03357</v>
      </c>
      <c r="G27" s="223">
        <v>2686942674.3499999</v>
      </c>
      <c r="H27" s="223">
        <v>0</v>
      </c>
      <c r="I27" s="223">
        <v>0</v>
      </c>
      <c r="J27" s="223">
        <v>0</v>
      </c>
      <c r="K27" s="224">
        <f t="shared" si="7"/>
        <v>2686942.67435</v>
      </c>
      <c r="L27" s="223">
        <v>0</v>
      </c>
      <c r="M27" s="223">
        <v>0</v>
      </c>
      <c r="N27" s="223">
        <v>0</v>
      </c>
      <c r="O27" s="224">
        <f t="shared" si="8"/>
        <v>0</v>
      </c>
      <c r="P27" s="223">
        <v>0</v>
      </c>
      <c r="Q27" s="223">
        <v>0</v>
      </c>
      <c r="R27" s="223">
        <v>0</v>
      </c>
      <c r="S27" s="224">
        <f t="shared" si="9"/>
        <v>0</v>
      </c>
      <c r="T27" s="223">
        <v>5973031369.6400003</v>
      </c>
      <c r="U27" s="223">
        <v>0</v>
      </c>
      <c r="V27" s="223">
        <v>0</v>
      </c>
      <c r="W27" s="223">
        <v>0</v>
      </c>
      <c r="X27" s="224">
        <f t="shared" si="10"/>
        <v>5973031.3696400002</v>
      </c>
      <c r="Y27" s="223">
        <v>2965864277.5599999</v>
      </c>
      <c r="Z27" s="223">
        <v>0</v>
      </c>
      <c r="AA27" s="223">
        <v>0</v>
      </c>
      <c r="AB27" s="223">
        <v>0</v>
      </c>
      <c r="AC27" s="224">
        <f t="shared" si="11"/>
        <v>2965864.2775599998</v>
      </c>
      <c r="AD27" s="224">
        <f t="shared" si="12"/>
        <v>5747081.03357</v>
      </c>
      <c r="AE27" s="224">
        <f t="shared" si="13"/>
        <v>2686942.67435</v>
      </c>
      <c r="AF27" s="224">
        <f t="shared" si="14"/>
        <v>46.753171891173281</v>
      </c>
      <c r="AG27" s="225">
        <v>5747081</v>
      </c>
      <c r="AH27" s="225">
        <f t="shared" si="15"/>
        <v>-3.3569999970495701E-2</v>
      </c>
      <c r="AI27" s="225">
        <v>2686943</v>
      </c>
      <c r="AJ27" s="225">
        <f t="shared" si="16"/>
        <v>0.32565000001341105</v>
      </c>
      <c r="AK27" s="224">
        <f t="shared" si="0"/>
        <v>5973031.3696400002</v>
      </c>
      <c r="AL27" s="224">
        <f t="shared" si="17"/>
        <v>2965864.2775599998</v>
      </c>
      <c r="AM27" s="224">
        <f t="shared" si="18"/>
        <v>49.654255837915599</v>
      </c>
      <c r="AN27" s="223">
        <v>2777073899.8099999</v>
      </c>
      <c r="AO27" s="223">
        <v>0</v>
      </c>
      <c r="AP27" s="223">
        <v>0</v>
      </c>
      <c r="AQ27" s="223">
        <v>0</v>
      </c>
      <c r="AR27" s="226">
        <f t="shared" si="19"/>
        <v>0</v>
      </c>
      <c r="AS27" s="224">
        <f t="shared" si="20"/>
        <v>2777073.8998099999</v>
      </c>
      <c r="AT27" s="223">
        <v>1441961963.0699999</v>
      </c>
      <c r="AU27" s="223">
        <v>0</v>
      </c>
      <c r="AV27" s="223">
        <v>0</v>
      </c>
      <c r="AW27" s="223">
        <v>0</v>
      </c>
      <c r="AX27" s="226">
        <f t="shared" si="21"/>
        <v>0</v>
      </c>
      <c r="AY27" s="224">
        <f t="shared" si="22"/>
        <v>1441961.9630699998</v>
      </c>
      <c r="AZ27" s="224">
        <f t="shared" si="23"/>
        <v>2777073.8998099999</v>
      </c>
      <c r="BA27" s="224">
        <f t="shared" si="1"/>
        <v>1441961.9630699998</v>
      </c>
      <c r="BB27" s="224">
        <f t="shared" si="24"/>
        <v>51.923787954244041</v>
      </c>
      <c r="BC27" s="223">
        <v>3192823626.52</v>
      </c>
      <c r="BD27" s="223">
        <v>0</v>
      </c>
      <c r="BE27" s="223">
        <v>0</v>
      </c>
      <c r="BF27" s="223">
        <v>0</v>
      </c>
      <c r="BG27" s="224">
        <f t="shared" si="25"/>
        <v>3192823.6265199999</v>
      </c>
      <c r="BH27" s="223">
        <v>1467797204.04</v>
      </c>
      <c r="BI27" s="223">
        <v>0</v>
      </c>
      <c r="BJ27" s="223">
        <v>0</v>
      </c>
      <c r="BK27" s="223">
        <v>0</v>
      </c>
      <c r="BL27" s="224">
        <f t="shared" si="26"/>
        <v>1467797.20404</v>
      </c>
      <c r="BM27" s="227"/>
      <c r="BN27" s="227"/>
      <c r="BO27" s="227"/>
      <c r="BP27" s="224">
        <f t="shared" si="27"/>
        <v>0</v>
      </c>
      <c r="BQ27" s="227"/>
      <c r="BR27" s="227"/>
      <c r="BS27" s="227"/>
      <c r="BT27" s="224">
        <f t="shared" si="28"/>
        <v>0</v>
      </c>
      <c r="BU27" s="224" t="e">
        <f t="shared" si="29"/>
        <v>#DIV/0!</v>
      </c>
      <c r="BV27" s="224">
        <v>301189.12536000001</v>
      </c>
      <c r="BW27" s="224">
        <v>260112.93596999999</v>
      </c>
      <c r="BX27" s="227">
        <v>192375886.66999999</v>
      </c>
      <c r="BY27" s="224">
        <f t="shared" si="30"/>
        <v>192375.88666999998</v>
      </c>
      <c r="BZ27" s="227">
        <v>503622.96</v>
      </c>
      <c r="CA27" s="224">
        <f t="shared" si="31"/>
        <v>503.62296000000003</v>
      </c>
      <c r="CB27" s="224">
        <f t="shared" si="32"/>
        <v>-108813.23869000003</v>
      </c>
      <c r="CC27" s="224">
        <f t="shared" si="33"/>
        <v>-259609.31300999998</v>
      </c>
      <c r="CD27" s="224">
        <f t="shared" si="2"/>
        <v>-225950.33607000019</v>
      </c>
      <c r="CE27" s="224">
        <f t="shared" si="3"/>
        <v>-278921.60320999986</v>
      </c>
      <c r="CF27" s="224">
        <v>1631466.665</v>
      </c>
      <c r="CG27" s="228">
        <v>1631466.665</v>
      </c>
      <c r="CH27" s="224">
        <f t="shared" si="34"/>
        <v>0</v>
      </c>
      <c r="CI27" s="223">
        <v>2554257407.0500002</v>
      </c>
      <c r="CJ27" s="223">
        <v>0</v>
      </c>
      <c r="CK27" s="223">
        <v>0</v>
      </c>
      <c r="CL27" s="223">
        <v>0</v>
      </c>
      <c r="CM27" s="224">
        <f t="shared" si="35"/>
        <v>2554257.40705</v>
      </c>
      <c r="CN27" s="223">
        <v>1219145470.3099999</v>
      </c>
      <c r="CO27" s="223">
        <v>0</v>
      </c>
      <c r="CP27" s="223">
        <v>0</v>
      </c>
      <c r="CQ27" s="223">
        <v>0</v>
      </c>
      <c r="CR27" s="224">
        <f t="shared" si="36"/>
        <v>1219145.47031</v>
      </c>
      <c r="CS27" s="228">
        <f t="shared" si="4"/>
        <v>2554257.40705</v>
      </c>
      <c r="CT27" s="228">
        <f t="shared" si="5"/>
        <v>1219145.47031</v>
      </c>
      <c r="CU27" s="224">
        <f t="shared" si="37"/>
        <v>47.729937748053089</v>
      </c>
      <c r="CV27" s="223">
        <v>2200609900</v>
      </c>
      <c r="CW27" s="224">
        <f t="shared" si="38"/>
        <v>2200609.9</v>
      </c>
      <c r="CX27" s="223">
        <v>1015257397.0599999</v>
      </c>
      <c r="CY27" s="224">
        <f t="shared" si="38"/>
        <v>1015257.39706</v>
      </c>
      <c r="DA27" s="224">
        <f t="shared" si="39"/>
        <v>0</v>
      </c>
      <c r="DC27" s="224">
        <f t="shared" si="40"/>
        <v>0</v>
      </c>
      <c r="DD27" s="224" t="e">
        <f t="shared" si="41"/>
        <v>#DIV/0!</v>
      </c>
    </row>
    <row r="28" spans="1:108" x14ac:dyDescent="0.3">
      <c r="A28" s="222" t="s">
        <v>184</v>
      </c>
      <c r="B28" s="223">
        <v>1687618347</v>
      </c>
      <c r="C28" s="223">
        <v>0</v>
      </c>
      <c r="D28" s="223">
        <v>0</v>
      </c>
      <c r="E28" s="223">
        <v>0</v>
      </c>
      <c r="F28" s="224">
        <f t="shared" si="6"/>
        <v>1687618.3470000001</v>
      </c>
      <c r="G28" s="223">
        <v>847843720.90999997</v>
      </c>
      <c r="H28" s="223">
        <v>0</v>
      </c>
      <c r="I28" s="223">
        <v>0</v>
      </c>
      <c r="J28" s="223">
        <v>0</v>
      </c>
      <c r="K28" s="224">
        <f t="shared" si="7"/>
        <v>847843.72090999992</v>
      </c>
      <c r="L28" s="223">
        <v>0</v>
      </c>
      <c r="M28" s="223">
        <v>0</v>
      </c>
      <c r="N28" s="223">
        <v>0</v>
      </c>
      <c r="O28" s="224">
        <f t="shared" si="8"/>
        <v>0</v>
      </c>
      <c r="P28" s="223">
        <v>0</v>
      </c>
      <c r="Q28" s="223">
        <v>0</v>
      </c>
      <c r="R28" s="223">
        <v>0</v>
      </c>
      <c r="S28" s="224">
        <f t="shared" si="9"/>
        <v>0</v>
      </c>
      <c r="T28" s="223">
        <v>1761993451.1800001</v>
      </c>
      <c r="U28" s="223">
        <v>0</v>
      </c>
      <c r="V28" s="223">
        <v>0</v>
      </c>
      <c r="W28" s="223">
        <v>0</v>
      </c>
      <c r="X28" s="224">
        <f t="shared" si="10"/>
        <v>1761993.4511800001</v>
      </c>
      <c r="Y28" s="223">
        <v>883044134.61000001</v>
      </c>
      <c r="Z28" s="223">
        <v>0</v>
      </c>
      <c r="AA28" s="223">
        <v>0</v>
      </c>
      <c r="AB28" s="223">
        <v>0</v>
      </c>
      <c r="AC28" s="224">
        <f t="shared" si="11"/>
        <v>883044.13461000007</v>
      </c>
      <c r="AD28" s="224">
        <f t="shared" si="12"/>
        <v>1687618.3470000001</v>
      </c>
      <c r="AE28" s="224">
        <f t="shared" si="13"/>
        <v>847843.72090999992</v>
      </c>
      <c r="AF28" s="224">
        <f t="shared" si="14"/>
        <v>50.239067524785561</v>
      </c>
      <c r="AG28" s="225">
        <v>1687618</v>
      </c>
      <c r="AH28" s="225">
        <f t="shared" si="15"/>
        <v>-0.34700000006705523</v>
      </c>
      <c r="AI28" s="225">
        <v>847844</v>
      </c>
      <c r="AJ28" s="225">
        <f t="shared" si="16"/>
        <v>0.27909000008367002</v>
      </c>
      <c r="AK28" s="224">
        <f t="shared" si="0"/>
        <v>1761993.4511800001</v>
      </c>
      <c r="AL28" s="224">
        <f t="shared" si="17"/>
        <v>883044.13461000007</v>
      </c>
      <c r="AM28" s="224">
        <f t="shared" si="18"/>
        <v>50.116198446630371</v>
      </c>
      <c r="AN28" s="223">
        <v>952338447</v>
      </c>
      <c r="AO28" s="223">
        <v>0</v>
      </c>
      <c r="AP28" s="223">
        <v>0</v>
      </c>
      <c r="AQ28" s="223">
        <v>0</v>
      </c>
      <c r="AR28" s="226">
        <f t="shared" si="19"/>
        <v>0</v>
      </c>
      <c r="AS28" s="224">
        <f t="shared" si="20"/>
        <v>952338.44700000004</v>
      </c>
      <c r="AT28" s="223">
        <v>497350161.11000001</v>
      </c>
      <c r="AU28" s="223">
        <v>0</v>
      </c>
      <c r="AV28" s="223">
        <v>0</v>
      </c>
      <c r="AW28" s="223">
        <v>0</v>
      </c>
      <c r="AX28" s="226">
        <f t="shared" si="21"/>
        <v>0</v>
      </c>
      <c r="AY28" s="224">
        <f t="shared" si="22"/>
        <v>497350.16110999999</v>
      </c>
      <c r="AZ28" s="224">
        <f>AS28-O28</f>
        <v>952338.44700000004</v>
      </c>
      <c r="BA28" s="224">
        <f t="shared" si="1"/>
        <v>497350.16110999999</v>
      </c>
      <c r="BB28" s="224">
        <f t="shared" si="24"/>
        <v>52.22409771197654</v>
      </c>
      <c r="BC28" s="223">
        <v>735021900</v>
      </c>
      <c r="BD28" s="223">
        <v>0</v>
      </c>
      <c r="BE28" s="223">
        <v>0</v>
      </c>
      <c r="BF28" s="223">
        <v>0</v>
      </c>
      <c r="BG28" s="224">
        <f t="shared" si="25"/>
        <v>735021.9</v>
      </c>
      <c r="BH28" s="223">
        <v>350785551.44</v>
      </c>
      <c r="BI28" s="223">
        <v>0</v>
      </c>
      <c r="BJ28" s="223">
        <v>0</v>
      </c>
      <c r="BK28" s="223">
        <v>0</v>
      </c>
      <c r="BL28" s="224">
        <f t="shared" si="26"/>
        <v>350785.55144000001</v>
      </c>
      <c r="BM28" s="227"/>
      <c r="BN28" s="227"/>
      <c r="BO28" s="227"/>
      <c r="BP28" s="224">
        <f t="shared" si="27"/>
        <v>0</v>
      </c>
      <c r="BQ28" s="227"/>
      <c r="BR28" s="227"/>
      <c r="BS28" s="227"/>
      <c r="BT28" s="224">
        <f t="shared" si="28"/>
        <v>0</v>
      </c>
      <c r="BU28" s="224" t="e">
        <f t="shared" si="29"/>
        <v>#DIV/0!</v>
      </c>
      <c r="BV28" s="224">
        <v>6862.9381100000001</v>
      </c>
      <c r="BW28" s="224">
        <v>1100.89582</v>
      </c>
      <c r="BX28" s="227">
        <v>12231994</v>
      </c>
      <c r="BY28" s="224">
        <f t="shared" si="30"/>
        <v>12231.994000000001</v>
      </c>
      <c r="BZ28" s="227">
        <v>4475058</v>
      </c>
      <c r="CA28" s="224">
        <f t="shared" si="31"/>
        <v>4475.058</v>
      </c>
      <c r="CB28" s="224">
        <f t="shared" si="32"/>
        <v>5369.0558900000005</v>
      </c>
      <c r="CC28" s="224">
        <f t="shared" si="33"/>
        <v>3374.1621800000003</v>
      </c>
      <c r="CD28" s="224">
        <f t="shared" si="2"/>
        <v>-74375.104180000024</v>
      </c>
      <c r="CE28" s="224">
        <f t="shared" si="3"/>
        <v>-35200.41370000015</v>
      </c>
      <c r="CF28" s="224">
        <v>104000</v>
      </c>
      <c r="CG28" s="228">
        <v>100000</v>
      </c>
      <c r="CH28" s="224">
        <f t="shared" si="34"/>
        <v>-4000</v>
      </c>
      <c r="CI28" s="223">
        <v>952596447</v>
      </c>
      <c r="CJ28" s="223">
        <v>0</v>
      </c>
      <c r="CK28" s="223">
        <v>0</v>
      </c>
      <c r="CL28" s="223">
        <v>0</v>
      </c>
      <c r="CM28" s="224">
        <f t="shared" si="35"/>
        <v>952596.44700000004</v>
      </c>
      <c r="CN28" s="223">
        <v>497058169.47000003</v>
      </c>
      <c r="CO28" s="223">
        <v>0</v>
      </c>
      <c r="CP28" s="223">
        <v>0</v>
      </c>
      <c r="CQ28" s="223">
        <v>0</v>
      </c>
      <c r="CR28" s="224">
        <f t="shared" si="36"/>
        <v>497058.16947000002</v>
      </c>
      <c r="CS28" s="228">
        <f t="shared" si="4"/>
        <v>952596.44700000004</v>
      </c>
      <c r="CT28" s="228">
        <f t="shared" si="5"/>
        <v>497058.16947000002</v>
      </c>
      <c r="CU28" s="224">
        <f t="shared" si="37"/>
        <v>52.179301217779994</v>
      </c>
      <c r="CV28" s="223">
        <v>424710400</v>
      </c>
      <c r="CW28" s="224">
        <f t="shared" si="38"/>
        <v>424710.40000000002</v>
      </c>
      <c r="CX28" s="223">
        <v>200654751.28</v>
      </c>
      <c r="CY28" s="224">
        <f t="shared" si="38"/>
        <v>200654.75128</v>
      </c>
      <c r="DA28" s="224">
        <f t="shared" si="39"/>
        <v>0</v>
      </c>
      <c r="DC28" s="224">
        <f t="shared" si="40"/>
        <v>0</v>
      </c>
      <c r="DD28" s="224" t="e">
        <f t="shared" si="41"/>
        <v>#DIV/0!</v>
      </c>
    </row>
    <row r="29" spans="1:108" x14ac:dyDescent="0.3">
      <c r="A29" s="222" t="s">
        <v>185</v>
      </c>
      <c r="B29" s="223">
        <v>918970916.64999998</v>
      </c>
      <c r="C29" s="223">
        <v>0</v>
      </c>
      <c r="D29" s="223">
        <v>0</v>
      </c>
      <c r="E29" s="223">
        <v>0</v>
      </c>
      <c r="F29" s="224">
        <f t="shared" si="6"/>
        <v>918970.91665000003</v>
      </c>
      <c r="G29" s="223">
        <v>478356717.98000002</v>
      </c>
      <c r="H29" s="223">
        <v>0</v>
      </c>
      <c r="I29" s="223">
        <v>0</v>
      </c>
      <c r="J29" s="223">
        <v>0</v>
      </c>
      <c r="K29" s="224">
        <f t="shared" si="7"/>
        <v>478356.71798000002</v>
      </c>
      <c r="L29" s="223">
        <v>0</v>
      </c>
      <c r="M29" s="223">
        <v>0</v>
      </c>
      <c r="N29" s="223">
        <v>0</v>
      </c>
      <c r="O29" s="224">
        <f t="shared" si="8"/>
        <v>0</v>
      </c>
      <c r="P29" s="223">
        <v>0</v>
      </c>
      <c r="Q29" s="223">
        <v>0</v>
      </c>
      <c r="R29" s="223">
        <v>0</v>
      </c>
      <c r="S29" s="224">
        <f t="shared" si="9"/>
        <v>0</v>
      </c>
      <c r="T29" s="223">
        <v>941614215.63</v>
      </c>
      <c r="U29" s="223">
        <v>0</v>
      </c>
      <c r="V29" s="223">
        <v>0</v>
      </c>
      <c r="W29" s="223">
        <v>0</v>
      </c>
      <c r="X29" s="224">
        <f t="shared" si="10"/>
        <v>941614.21562999999</v>
      </c>
      <c r="Y29" s="223">
        <v>486337535.98000002</v>
      </c>
      <c r="Z29" s="223">
        <v>0</v>
      </c>
      <c r="AA29" s="223">
        <v>0</v>
      </c>
      <c r="AB29" s="223">
        <v>0</v>
      </c>
      <c r="AC29" s="224">
        <f t="shared" si="11"/>
        <v>486337.53598000004</v>
      </c>
      <c r="AD29" s="224">
        <f t="shared" si="12"/>
        <v>918970.91665000003</v>
      </c>
      <c r="AE29" s="224">
        <f t="shared" si="13"/>
        <v>478356.71798000002</v>
      </c>
      <c r="AF29" s="224">
        <f t="shared" si="14"/>
        <v>52.053520880050584</v>
      </c>
      <c r="AG29" s="225">
        <v>918971</v>
      </c>
      <c r="AH29" s="225">
        <f>AG29-AD29</f>
        <v>8.3349999971687794E-2</v>
      </c>
      <c r="AI29" s="225">
        <v>478357</v>
      </c>
      <c r="AJ29" s="225">
        <f t="shared" si="16"/>
        <v>0.28201999998418614</v>
      </c>
      <c r="AK29" s="224">
        <f t="shared" si="0"/>
        <v>941614.21562999999</v>
      </c>
      <c r="AL29" s="224">
        <f t="shared" si="17"/>
        <v>486337.53598000004</v>
      </c>
      <c r="AM29" s="224">
        <f t="shared" si="18"/>
        <v>51.649340877315574</v>
      </c>
      <c r="AN29" s="223">
        <v>579013861.63</v>
      </c>
      <c r="AO29" s="223">
        <v>0</v>
      </c>
      <c r="AP29" s="223">
        <v>0</v>
      </c>
      <c r="AQ29" s="223">
        <v>0</v>
      </c>
      <c r="AR29" s="226">
        <f t="shared" si="19"/>
        <v>0</v>
      </c>
      <c r="AS29" s="224">
        <f t="shared" si="20"/>
        <v>579013.86162999994</v>
      </c>
      <c r="AT29" s="223">
        <v>307233911.91000003</v>
      </c>
      <c r="AU29" s="223">
        <v>0</v>
      </c>
      <c r="AV29" s="223">
        <v>0</v>
      </c>
      <c r="AW29" s="223">
        <v>0</v>
      </c>
      <c r="AX29" s="226">
        <f t="shared" si="21"/>
        <v>0</v>
      </c>
      <c r="AY29" s="224">
        <f t="shared" si="22"/>
        <v>307233.91191000002</v>
      </c>
      <c r="AZ29" s="224">
        <f t="shared" si="23"/>
        <v>579013.86162999994</v>
      </c>
      <c r="BA29" s="224">
        <f t="shared" si="1"/>
        <v>307233.91191000002</v>
      </c>
      <c r="BB29" s="224">
        <f t="shared" si="24"/>
        <v>53.061581469758991</v>
      </c>
      <c r="BC29" s="223">
        <v>340810200</v>
      </c>
      <c r="BD29" s="223">
        <v>0</v>
      </c>
      <c r="BE29" s="223">
        <v>0</v>
      </c>
      <c r="BF29" s="223">
        <v>0</v>
      </c>
      <c r="BG29" s="224">
        <f t="shared" si="25"/>
        <v>340810.2</v>
      </c>
      <c r="BH29" s="223">
        <v>171975951.05000001</v>
      </c>
      <c r="BI29" s="223">
        <v>0</v>
      </c>
      <c r="BJ29" s="223">
        <v>0</v>
      </c>
      <c r="BK29" s="223">
        <v>0</v>
      </c>
      <c r="BL29" s="224">
        <f t="shared" si="26"/>
        <v>171975.95105</v>
      </c>
      <c r="BM29" s="227"/>
      <c r="BN29" s="227"/>
      <c r="BO29" s="227"/>
      <c r="BP29" s="224">
        <f t="shared" si="27"/>
        <v>0</v>
      </c>
      <c r="BQ29" s="227"/>
      <c r="BR29" s="227"/>
      <c r="BS29" s="227"/>
      <c r="BT29" s="224">
        <f t="shared" si="28"/>
        <v>0</v>
      </c>
      <c r="BU29" s="224" t="e">
        <f t="shared" si="29"/>
        <v>#DIV/0!</v>
      </c>
      <c r="BV29" s="224">
        <v>15606.01649</v>
      </c>
      <c r="BW29" s="224">
        <v>2643.29898</v>
      </c>
      <c r="BX29" s="227">
        <v>8207998.5099999998</v>
      </c>
      <c r="BY29" s="224">
        <f t="shared" si="30"/>
        <v>8207.9985099999994</v>
      </c>
      <c r="BZ29" s="227">
        <v>2951218.4</v>
      </c>
      <c r="CA29" s="224">
        <f t="shared" si="31"/>
        <v>2951.2183999999997</v>
      </c>
      <c r="CB29" s="224">
        <f t="shared" si="32"/>
        <v>-7398.0179800000005</v>
      </c>
      <c r="CC29" s="224">
        <f t="shared" si="33"/>
        <v>307.91941999999972</v>
      </c>
      <c r="CD29" s="224">
        <f t="shared" si="2"/>
        <v>-22643.298979999963</v>
      </c>
      <c r="CE29" s="224">
        <f t="shared" si="3"/>
        <v>-7980.8180000000284</v>
      </c>
      <c r="CF29" s="224">
        <v>70000</v>
      </c>
      <c r="CG29" s="228">
        <v>59800</v>
      </c>
      <c r="CH29" s="224">
        <f t="shared" si="34"/>
        <v>-10200</v>
      </c>
      <c r="CI29" s="223">
        <v>578160716.64999998</v>
      </c>
      <c r="CJ29" s="223">
        <v>0</v>
      </c>
      <c r="CK29" s="223">
        <v>0</v>
      </c>
      <c r="CL29" s="223">
        <v>0</v>
      </c>
      <c r="CM29" s="224">
        <f t="shared" si="35"/>
        <v>578160.71664999996</v>
      </c>
      <c r="CN29" s="223">
        <v>306380766.93000001</v>
      </c>
      <c r="CO29" s="223">
        <v>0</v>
      </c>
      <c r="CP29" s="223">
        <v>0</v>
      </c>
      <c r="CQ29" s="223">
        <v>0</v>
      </c>
      <c r="CR29" s="224">
        <f t="shared" si="36"/>
        <v>306380.76692999998</v>
      </c>
      <c r="CS29" s="228">
        <f t="shared" si="4"/>
        <v>578160.71664999996</v>
      </c>
      <c r="CT29" s="228">
        <f t="shared" si="5"/>
        <v>306380.76692999998</v>
      </c>
      <c r="CU29" s="224">
        <f t="shared" si="37"/>
        <v>52.992318244180034</v>
      </c>
      <c r="CV29" s="223">
        <v>217097000</v>
      </c>
      <c r="CW29" s="224">
        <f t="shared" si="38"/>
        <v>217097</v>
      </c>
      <c r="CX29" s="223">
        <v>108456305.77</v>
      </c>
      <c r="CY29" s="224">
        <f t="shared" si="38"/>
        <v>108456.30576999999</v>
      </c>
      <c r="DA29" s="224">
        <f t="shared" si="39"/>
        <v>0</v>
      </c>
      <c r="DC29" s="224">
        <f t="shared" si="40"/>
        <v>0</v>
      </c>
      <c r="DD29" s="229" t="e">
        <f t="shared" si="41"/>
        <v>#DIV/0!</v>
      </c>
    </row>
    <row r="30" spans="1:108" x14ac:dyDescent="0.3">
      <c r="A30" s="222" t="s">
        <v>186</v>
      </c>
      <c r="B30" s="223">
        <v>838532974.32000005</v>
      </c>
      <c r="C30" s="223">
        <v>0</v>
      </c>
      <c r="D30" s="223">
        <v>0</v>
      </c>
      <c r="E30" s="223">
        <v>0</v>
      </c>
      <c r="F30" s="224">
        <f t="shared" si="6"/>
        <v>838532.97432000004</v>
      </c>
      <c r="G30" s="223">
        <v>437910415.10000002</v>
      </c>
      <c r="H30" s="223">
        <v>0</v>
      </c>
      <c r="I30" s="223">
        <v>0</v>
      </c>
      <c r="J30" s="223">
        <v>0</v>
      </c>
      <c r="K30" s="224">
        <f t="shared" si="7"/>
        <v>437910.41510000004</v>
      </c>
      <c r="L30" s="223">
        <v>0</v>
      </c>
      <c r="M30" s="223">
        <v>0</v>
      </c>
      <c r="N30" s="223">
        <v>0</v>
      </c>
      <c r="O30" s="224">
        <f t="shared" si="8"/>
        <v>0</v>
      </c>
      <c r="P30" s="223">
        <v>0</v>
      </c>
      <c r="Q30" s="223">
        <v>0</v>
      </c>
      <c r="R30" s="223">
        <v>0</v>
      </c>
      <c r="S30" s="224">
        <f t="shared" si="9"/>
        <v>0</v>
      </c>
      <c r="T30" s="223">
        <v>863859113.75</v>
      </c>
      <c r="U30" s="223">
        <v>0</v>
      </c>
      <c r="V30" s="223">
        <v>0</v>
      </c>
      <c r="W30" s="223">
        <v>0</v>
      </c>
      <c r="X30" s="224">
        <f t="shared" si="10"/>
        <v>863859.11375000002</v>
      </c>
      <c r="Y30" s="223">
        <v>434998172.68000001</v>
      </c>
      <c r="Z30" s="223">
        <v>0</v>
      </c>
      <c r="AA30" s="223">
        <v>0</v>
      </c>
      <c r="AB30" s="223">
        <v>0</v>
      </c>
      <c r="AC30" s="224">
        <f t="shared" si="11"/>
        <v>434998.17268000002</v>
      </c>
      <c r="AD30" s="224">
        <f t="shared" si="12"/>
        <v>838532.97432000004</v>
      </c>
      <c r="AE30" s="224">
        <f t="shared" si="13"/>
        <v>437910.41510000004</v>
      </c>
      <c r="AF30" s="224">
        <f t="shared" si="14"/>
        <v>52.223398305250804</v>
      </c>
      <c r="AG30" s="225">
        <v>838533</v>
      </c>
      <c r="AH30" s="225">
        <f t="shared" si="15"/>
        <v>2.5679999962449074E-2</v>
      </c>
      <c r="AI30" s="225">
        <v>437910</v>
      </c>
      <c r="AJ30" s="225">
        <f t="shared" si="16"/>
        <v>-0.41510000004200265</v>
      </c>
      <c r="AK30" s="224">
        <f t="shared" si="0"/>
        <v>863859.11375000002</v>
      </c>
      <c r="AL30" s="224">
        <f t="shared" si="17"/>
        <v>434998.17268000002</v>
      </c>
      <c r="AM30" s="224">
        <f t="shared" si="18"/>
        <v>50.355221789775328</v>
      </c>
      <c r="AN30" s="223">
        <v>457578920</v>
      </c>
      <c r="AO30" s="223">
        <v>0</v>
      </c>
      <c r="AP30" s="223">
        <v>0</v>
      </c>
      <c r="AQ30" s="223">
        <v>0</v>
      </c>
      <c r="AR30" s="226">
        <f t="shared" si="19"/>
        <v>0</v>
      </c>
      <c r="AS30" s="224">
        <f t="shared" si="20"/>
        <v>457578.92</v>
      </c>
      <c r="AT30" s="223">
        <v>236717717.96000001</v>
      </c>
      <c r="AU30" s="223">
        <v>0</v>
      </c>
      <c r="AV30" s="223">
        <v>0</v>
      </c>
      <c r="AW30" s="223">
        <v>0</v>
      </c>
      <c r="AX30" s="226">
        <f t="shared" si="21"/>
        <v>0</v>
      </c>
      <c r="AY30" s="224">
        <f t="shared" si="22"/>
        <v>236717.71796000001</v>
      </c>
      <c r="AZ30" s="224">
        <f t="shared" si="23"/>
        <v>457578.92</v>
      </c>
      <c r="BA30" s="224">
        <f t="shared" si="1"/>
        <v>236717.71796000001</v>
      </c>
      <c r="BB30" s="224">
        <f t="shared" si="24"/>
        <v>51.732653672070384</v>
      </c>
      <c r="BC30" s="223">
        <v>381581500</v>
      </c>
      <c r="BD30" s="223">
        <v>0</v>
      </c>
      <c r="BE30" s="223">
        <v>0</v>
      </c>
      <c r="BF30" s="223">
        <v>0</v>
      </c>
      <c r="BG30" s="224">
        <f t="shared" si="25"/>
        <v>381581.5</v>
      </c>
      <c r="BH30" s="223">
        <v>201833978.65000001</v>
      </c>
      <c r="BI30" s="223">
        <v>0</v>
      </c>
      <c r="BJ30" s="223">
        <v>0</v>
      </c>
      <c r="BK30" s="223">
        <v>0</v>
      </c>
      <c r="BL30" s="224">
        <f t="shared" si="26"/>
        <v>201833.97865</v>
      </c>
      <c r="BM30" s="227"/>
      <c r="BN30" s="227"/>
      <c r="BO30" s="227"/>
      <c r="BP30" s="224">
        <f t="shared" si="27"/>
        <v>0</v>
      </c>
      <c r="BQ30" s="227"/>
      <c r="BR30" s="227"/>
      <c r="BS30" s="227"/>
      <c r="BT30" s="224">
        <f t="shared" si="28"/>
        <v>0</v>
      </c>
      <c r="BU30" s="224" t="e">
        <f t="shared" si="29"/>
        <v>#DIV/0!</v>
      </c>
      <c r="BV30" s="224">
        <v>7704.2646100000002</v>
      </c>
      <c r="BW30" s="224">
        <v>627.44568000000004</v>
      </c>
      <c r="BX30" s="227">
        <v>10616507.029999999</v>
      </c>
      <c r="BY30" s="224">
        <f t="shared" si="30"/>
        <v>10616.507029999999</v>
      </c>
      <c r="BZ30" s="227">
        <v>17470.599999999999</v>
      </c>
      <c r="CA30" s="224">
        <f t="shared" si="31"/>
        <v>17.470599999999997</v>
      </c>
      <c r="CB30" s="224">
        <f t="shared" si="32"/>
        <v>2912.2424199999987</v>
      </c>
      <c r="CC30" s="224">
        <f t="shared" si="33"/>
        <v>-609.97508000000005</v>
      </c>
      <c r="CD30" s="224">
        <f t="shared" si="2"/>
        <v>-25326.139429999981</v>
      </c>
      <c r="CE30" s="224">
        <f t="shared" si="3"/>
        <v>2912.2424200000241</v>
      </c>
      <c r="CF30" s="224">
        <v>212247.42499999999</v>
      </c>
      <c r="CG30" s="228">
        <v>212247.42499999999</v>
      </c>
      <c r="CH30" s="224">
        <f t="shared" si="34"/>
        <v>0</v>
      </c>
      <c r="CI30" s="223">
        <v>456951474.31999999</v>
      </c>
      <c r="CJ30" s="223">
        <v>0</v>
      </c>
      <c r="CK30" s="223">
        <v>0</v>
      </c>
      <c r="CL30" s="223">
        <v>0</v>
      </c>
      <c r="CM30" s="224">
        <f t="shared" si="35"/>
        <v>456951.47431999998</v>
      </c>
      <c r="CN30" s="223">
        <v>236076436.44999999</v>
      </c>
      <c r="CO30" s="223">
        <v>0</v>
      </c>
      <c r="CP30" s="223">
        <v>0</v>
      </c>
      <c r="CQ30" s="223">
        <v>0</v>
      </c>
      <c r="CR30" s="224">
        <f t="shared" si="36"/>
        <v>236076.43644999998</v>
      </c>
      <c r="CS30" s="228">
        <f t="shared" si="4"/>
        <v>456951.47431999998</v>
      </c>
      <c r="CT30" s="228">
        <f t="shared" si="5"/>
        <v>236076.43644999998</v>
      </c>
      <c r="CU30" s="224">
        <f t="shared" si="37"/>
        <v>51.66334933076007</v>
      </c>
      <c r="CV30" s="223">
        <v>252799100</v>
      </c>
      <c r="CW30" s="224">
        <f t="shared" si="38"/>
        <v>252799.1</v>
      </c>
      <c r="CX30" s="223">
        <v>128515010.95</v>
      </c>
      <c r="CY30" s="224">
        <f t="shared" si="38"/>
        <v>128515.01095</v>
      </c>
      <c r="DA30" s="224">
        <f t="shared" si="39"/>
        <v>0</v>
      </c>
      <c r="DC30" s="224">
        <f t="shared" si="40"/>
        <v>0</v>
      </c>
      <c r="DD30" s="224" t="e">
        <f t="shared" si="41"/>
        <v>#DIV/0!</v>
      </c>
    </row>
    <row r="31" spans="1:108" x14ac:dyDescent="0.3">
      <c r="A31" s="222" t="s">
        <v>187</v>
      </c>
      <c r="B31" s="223">
        <v>1033949246.0700001</v>
      </c>
      <c r="C31" s="223">
        <v>0</v>
      </c>
      <c r="D31" s="223">
        <v>0</v>
      </c>
      <c r="E31" s="223">
        <v>0</v>
      </c>
      <c r="F31" s="224">
        <f t="shared" si="6"/>
        <v>1033949.2460700001</v>
      </c>
      <c r="G31" s="223">
        <v>454798490.33999997</v>
      </c>
      <c r="H31" s="223">
        <v>0</v>
      </c>
      <c r="I31" s="223">
        <v>0</v>
      </c>
      <c r="J31" s="223">
        <v>0</v>
      </c>
      <c r="K31" s="224">
        <f t="shared" si="7"/>
        <v>454798.49033999996</v>
      </c>
      <c r="L31" s="223">
        <v>0</v>
      </c>
      <c r="M31" s="223">
        <v>0</v>
      </c>
      <c r="N31" s="223">
        <v>0</v>
      </c>
      <c r="O31" s="224">
        <f t="shared" si="8"/>
        <v>0</v>
      </c>
      <c r="P31" s="223">
        <v>0</v>
      </c>
      <c r="Q31" s="223">
        <v>0</v>
      </c>
      <c r="R31" s="223">
        <v>0</v>
      </c>
      <c r="S31" s="224">
        <f t="shared" si="9"/>
        <v>0</v>
      </c>
      <c r="T31" s="223">
        <v>1125158003.52</v>
      </c>
      <c r="U31" s="223">
        <v>0</v>
      </c>
      <c r="V31" s="223">
        <v>0</v>
      </c>
      <c r="W31" s="223">
        <v>0</v>
      </c>
      <c r="X31" s="224">
        <f t="shared" si="10"/>
        <v>1125158.00352</v>
      </c>
      <c r="Y31" s="223">
        <v>456490291.75999999</v>
      </c>
      <c r="Z31" s="223">
        <v>0</v>
      </c>
      <c r="AA31" s="223">
        <v>0</v>
      </c>
      <c r="AB31" s="223">
        <v>0</v>
      </c>
      <c r="AC31" s="224">
        <f t="shared" si="11"/>
        <v>456490.29175999999</v>
      </c>
      <c r="AD31" s="224">
        <f t="shared" si="12"/>
        <v>1033949.2460700001</v>
      </c>
      <c r="AE31" s="224">
        <f t="shared" si="13"/>
        <v>454798.49033999996</v>
      </c>
      <c r="AF31" s="229">
        <f t="shared" si="14"/>
        <v>43.986539191229248</v>
      </c>
      <c r="AG31" s="230">
        <v>1033949</v>
      </c>
      <c r="AH31" s="225">
        <f t="shared" si="15"/>
        <v>-0.24607000011019409</v>
      </c>
      <c r="AI31" s="230">
        <v>454798</v>
      </c>
      <c r="AJ31" s="225">
        <f t="shared" si="16"/>
        <v>-0.49033999996026978</v>
      </c>
      <c r="AK31" s="224">
        <f t="shared" si="0"/>
        <v>1125158.00352</v>
      </c>
      <c r="AL31" s="224">
        <f t="shared" si="17"/>
        <v>456490.29175999999</v>
      </c>
      <c r="AM31" s="224">
        <f t="shared" si="18"/>
        <v>40.571216694179228</v>
      </c>
      <c r="AN31" s="223">
        <v>524095751.00999999</v>
      </c>
      <c r="AO31" s="223">
        <v>0</v>
      </c>
      <c r="AP31" s="223">
        <v>0</v>
      </c>
      <c r="AQ31" s="223">
        <v>0</v>
      </c>
      <c r="AR31" s="226">
        <f t="shared" si="19"/>
        <v>0</v>
      </c>
      <c r="AS31" s="224">
        <f t="shared" si="20"/>
        <v>524095.75101000001</v>
      </c>
      <c r="AT31" s="223">
        <v>234094326.36000001</v>
      </c>
      <c r="AU31" s="223">
        <v>0</v>
      </c>
      <c r="AV31" s="223">
        <v>0</v>
      </c>
      <c r="AW31" s="223">
        <v>0</v>
      </c>
      <c r="AX31" s="226">
        <f t="shared" si="21"/>
        <v>0</v>
      </c>
      <c r="AY31" s="224">
        <f t="shared" si="22"/>
        <v>234094.32636000001</v>
      </c>
      <c r="AZ31" s="224">
        <f t="shared" si="23"/>
        <v>524095.75101000001</v>
      </c>
      <c r="BA31" s="224">
        <f t="shared" si="1"/>
        <v>234094.32636000001</v>
      </c>
      <c r="BB31" s="224">
        <f t="shared" si="24"/>
        <v>44.666327843503808</v>
      </c>
      <c r="BC31" s="223">
        <v>513980000</v>
      </c>
      <c r="BD31" s="223">
        <v>0</v>
      </c>
      <c r="BE31" s="223">
        <v>0</v>
      </c>
      <c r="BF31" s="223">
        <v>0</v>
      </c>
      <c r="BG31" s="224">
        <f t="shared" si="25"/>
        <v>513980</v>
      </c>
      <c r="BH31" s="223">
        <v>224830668.91999999</v>
      </c>
      <c r="BI31" s="223">
        <v>0</v>
      </c>
      <c r="BJ31" s="223">
        <v>0</v>
      </c>
      <c r="BK31" s="223">
        <v>0</v>
      </c>
      <c r="BL31" s="224">
        <f t="shared" si="26"/>
        <v>224830.66892</v>
      </c>
      <c r="BM31" s="227"/>
      <c r="BN31" s="227"/>
      <c r="BO31" s="227"/>
      <c r="BP31" s="224">
        <f t="shared" si="27"/>
        <v>0</v>
      </c>
      <c r="BQ31" s="227"/>
      <c r="BR31" s="227"/>
      <c r="BS31" s="227"/>
      <c r="BT31" s="224">
        <f t="shared" si="28"/>
        <v>0</v>
      </c>
      <c r="BU31" s="224"/>
      <c r="BV31" s="224">
        <v>91635.608529999998</v>
      </c>
      <c r="BW31" s="224">
        <v>4125.5708500000001</v>
      </c>
      <c r="BX31" s="227">
        <v>89943807.109999999</v>
      </c>
      <c r="BY31" s="224">
        <f t="shared" si="30"/>
        <v>89943.807109999994</v>
      </c>
      <c r="BZ31" s="227">
        <v>252604.96</v>
      </c>
      <c r="CA31" s="224">
        <f t="shared" si="31"/>
        <v>252.60496000000001</v>
      </c>
      <c r="CB31" s="224">
        <f t="shared" si="32"/>
        <v>-1691.8014200000034</v>
      </c>
      <c r="CC31" s="224">
        <f t="shared" si="33"/>
        <v>-3872.9658899999999</v>
      </c>
      <c r="CD31" s="224">
        <f t="shared" si="2"/>
        <v>-91208.757449999917</v>
      </c>
      <c r="CE31" s="224">
        <f t="shared" si="3"/>
        <v>-1691.8014200000325</v>
      </c>
      <c r="CF31" s="224">
        <v>0</v>
      </c>
      <c r="CG31" s="228">
        <v>0</v>
      </c>
      <c r="CH31" s="224">
        <f t="shared" si="34"/>
        <v>0</v>
      </c>
      <c r="CI31" s="223">
        <v>519969246.06999999</v>
      </c>
      <c r="CJ31" s="223">
        <v>0</v>
      </c>
      <c r="CK31" s="223">
        <v>0</v>
      </c>
      <c r="CL31" s="223">
        <v>0</v>
      </c>
      <c r="CM31" s="224">
        <f t="shared" si="35"/>
        <v>519969.24606999999</v>
      </c>
      <c r="CN31" s="223">
        <v>229967821.41999999</v>
      </c>
      <c r="CO31" s="223">
        <v>0</v>
      </c>
      <c r="CP31" s="223">
        <v>0</v>
      </c>
      <c r="CQ31" s="223">
        <v>0</v>
      </c>
      <c r="CR31" s="224">
        <f t="shared" si="36"/>
        <v>229967.82141999999</v>
      </c>
      <c r="CS31" s="228">
        <f t="shared" si="4"/>
        <v>519969.24606999999</v>
      </c>
      <c r="CT31" s="228">
        <f t="shared" si="5"/>
        <v>229967.82141999999</v>
      </c>
      <c r="CU31" s="224">
        <f t="shared" si="37"/>
        <v>44.227196734831686</v>
      </c>
      <c r="CV31" s="223">
        <v>357854000</v>
      </c>
      <c r="CW31" s="224">
        <f t="shared" si="38"/>
        <v>357854</v>
      </c>
      <c r="CX31" s="223">
        <v>147789059.11000001</v>
      </c>
      <c r="CY31" s="224">
        <f t="shared" si="38"/>
        <v>147789.05911</v>
      </c>
      <c r="DA31" s="224">
        <f t="shared" si="39"/>
        <v>0</v>
      </c>
      <c r="DC31" s="224">
        <f t="shared" si="40"/>
        <v>0</v>
      </c>
      <c r="DD31" s="224"/>
    </row>
    <row r="32" spans="1:108" x14ac:dyDescent="0.3">
      <c r="A32" s="222" t="s">
        <v>188</v>
      </c>
      <c r="B32" s="223">
        <v>95096854.109999999</v>
      </c>
      <c r="C32" s="223">
        <v>0</v>
      </c>
      <c r="D32" s="223">
        <v>0</v>
      </c>
      <c r="E32" s="223">
        <v>0</v>
      </c>
      <c r="F32" s="224">
        <f t="shared" si="6"/>
        <v>95096.85411</v>
      </c>
      <c r="G32" s="223">
        <v>39871158.119999997</v>
      </c>
      <c r="H32" s="223">
        <v>0</v>
      </c>
      <c r="I32" s="223">
        <v>0</v>
      </c>
      <c r="J32" s="223">
        <v>0</v>
      </c>
      <c r="K32" s="224">
        <f t="shared" si="7"/>
        <v>39871.15812</v>
      </c>
      <c r="L32" s="223">
        <v>0</v>
      </c>
      <c r="M32" s="223">
        <v>0</v>
      </c>
      <c r="N32" s="223">
        <v>0</v>
      </c>
      <c r="O32" s="224">
        <f t="shared" si="8"/>
        <v>0</v>
      </c>
      <c r="P32" s="223">
        <v>0</v>
      </c>
      <c r="Q32" s="223">
        <v>0</v>
      </c>
      <c r="R32" s="223">
        <v>0</v>
      </c>
      <c r="S32" s="224">
        <f t="shared" si="9"/>
        <v>0</v>
      </c>
      <c r="T32" s="223">
        <v>103639973.65000001</v>
      </c>
      <c r="U32" s="223">
        <v>0</v>
      </c>
      <c r="V32" s="223">
        <v>0</v>
      </c>
      <c r="W32" s="223">
        <v>0</v>
      </c>
      <c r="X32" s="224">
        <f t="shared" si="10"/>
        <v>103639.97365</v>
      </c>
      <c r="Y32" s="223">
        <v>49364868.289999999</v>
      </c>
      <c r="Z32" s="223">
        <v>0</v>
      </c>
      <c r="AA32" s="223">
        <v>0</v>
      </c>
      <c r="AB32" s="223">
        <v>0</v>
      </c>
      <c r="AC32" s="224">
        <f t="shared" si="11"/>
        <v>49364.868289999999</v>
      </c>
      <c r="AD32" s="224">
        <f t="shared" si="12"/>
        <v>95096.85411</v>
      </c>
      <c r="AE32" s="224">
        <f t="shared" si="13"/>
        <v>39871.15812</v>
      </c>
      <c r="AF32" s="229">
        <f t="shared" si="14"/>
        <v>41.926894946367433</v>
      </c>
      <c r="AG32" s="230">
        <v>95097</v>
      </c>
      <c r="AH32" s="225">
        <f t="shared" si="15"/>
        <v>0.14588999999978114</v>
      </c>
      <c r="AI32" s="230">
        <v>39871</v>
      </c>
      <c r="AJ32" s="225">
        <f t="shared" si="16"/>
        <v>-0.15812000000005355</v>
      </c>
      <c r="AK32" s="224">
        <f t="shared" si="0"/>
        <v>103639.97365</v>
      </c>
      <c r="AL32" s="224">
        <f t="shared" si="17"/>
        <v>49364.868289999999</v>
      </c>
      <c r="AM32" s="224">
        <f t="shared" si="18"/>
        <v>47.63110849169923</v>
      </c>
      <c r="AN32" s="223">
        <v>7843600</v>
      </c>
      <c r="AO32" s="223">
        <v>0</v>
      </c>
      <c r="AP32" s="223">
        <v>0</v>
      </c>
      <c r="AQ32" s="223">
        <v>0</v>
      </c>
      <c r="AR32" s="226">
        <f t="shared" si="19"/>
        <v>0</v>
      </c>
      <c r="AS32" s="224">
        <f t="shared" si="20"/>
        <v>7843.6</v>
      </c>
      <c r="AT32" s="223">
        <v>4061235.14</v>
      </c>
      <c r="AU32" s="223">
        <v>0</v>
      </c>
      <c r="AV32" s="223">
        <v>0</v>
      </c>
      <c r="AW32" s="223">
        <v>0</v>
      </c>
      <c r="AX32" s="226">
        <f t="shared" si="21"/>
        <v>0</v>
      </c>
      <c r="AY32" s="224">
        <f t="shared" si="22"/>
        <v>4061.2351400000002</v>
      </c>
      <c r="AZ32" s="224">
        <f t="shared" si="23"/>
        <v>7843.6</v>
      </c>
      <c r="BA32" s="224">
        <f t="shared" si="1"/>
        <v>4061.2351400000002</v>
      </c>
      <c r="BB32" s="224">
        <f t="shared" si="24"/>
        <v>51.777693151104081</v>
      </c>
      <c r="BC32" s="223">
        <v>87253254.109999999</v>
      </c>
      <c r="BD32" s="223">
        <v>0</v>
      </c>
      <c r="BE32" s="223">
        <v>0</v>
      </c>
      <c r="BF32" s="223">
        <v>0</v>
      </c>
      <c r="BG32" s="224">
        <f t="shared" si="25"/>
        <v>87253.254109999994</v>
      </c>
      <c r="BH32" s="223">
        <v>35816122.979999997</v>
      </c>
      <c r="BI32" s="223">
        <v>0</v>
      </c>
      <c r="BJ32" s="223">
        <v>0</v>
      </c>
      <c r="BK32" s="223">
        <v>0</v>
      </c>
      <c r="BL32" s="224">
        <f t="shared" si="26"/>
        <v>35816.12298</v>
      </c>
      <c r="BM32" s="227"/>
      <c r="BN32" s="227"/>
      <c r="BO32" s="227"/>
      <c r="BP32" s="224">
        <f t="shared" si="27"/>
        <v>0</v>
      </c>
      <c r="BQ32" s="227"/>
      <c r="BR32" s="227"/>
      <c r="BS32" s="227"/>
      <c r="BT32" s="224">
        <f t="shared" si="28"/>
        <v>0</v>
      </c>
      <c r="BU32" s="224"/>
      <c r="BV32" s="224">
        <v>19042.350710000002</v>
      </c>
      <c r="BW32" s="224">
        <v>6.2</v>
      </c>
      <c r="BX32" s="227">
        <v>9548640.5399999991</v>
      </c>
      <c r="BY32" s="224">
        <f t="shared" si="30"/>
        <v>9548.6405399999985</v>
      </c>
      <c r="BZ32" s="227">
        <v>2783.73</v>
      </c>
      <c r="CA32" s="224">
        <f t="shared" si="31"/>
        <v>2.7837299999999998</v>
      </c>
      <c r="CB32" s="224">
        <f t="shared" si="32"/>
        <v>-9493.7101700000039</v>
      </c>
      <c r="CC32" s="224">
        <f t="shared" si="33"/>
        <v>-3.4162700000000004</v>
      </c>
      <c r="CD32" s="224">
        <f t="shared" si="2"/>
        <v>-8543.1195399999997</v>
      </c>
      <c r="CE32" s="224">
        <f t="shared" si="3"/>
        <v>-9493.7101699999985</v>
      </c>
      <c r="CF32" s="224">
        <v>0</v>
      </c>
      <c r="CG32" s="228">
        <v>0</v>
      </c>
      <c r="CH32" s="224">
        <f t="shared" si="34"/>
        <v>0</v>
      </c>
      <c r="CI32" s="223">
        <v>7843600</v>
      </c>
      <c r="CJ32" s="223">
        <v>0</v>
      </c>
      <c r="CK32" s="223">
        <v>0</v>
      </c>
      <c r="CL32" s="223">
        <v>0</v>
      </c>
      <c r="CM32" s="224">
        <f t="shared" si="35"/>
        <v>7843.6</v>
      </c>
      <c r="CN32" s="223">
        <v>4055035.14</v>
      </c>
      <c r="CO32" s="223">
        <v>0</v>
      </c>
      <c r="CP32" s="223">
        <v>0</v>
      </c>
      <c r="CQ32" s="223">
        <v>0</v>
      </c>
      <c r="CR32" s="224">
        <f t="shared" si="36"/>
        <v>4055.03514</v>
      </c>
      <c r="CS32" s="228">
        <f t="shared" si="4"/>
        <v>7843.6</v>
      </c>
      <c r="CT32" s="228">
        <f t="shared" si="5"/>
        <v>4055.03514</v>
      </c>
      <c r="CU32" s="229">
        <f t="shared" si="37"/>
        <v>51.698647814778923</v>
      </c>
      <c r="CV32" s="223">
        <v>86312100</v>
      </c>
      <c r="CW32" s="224">
        <f t="shared" si="38"/>
        <v>86312.1</v>
      </c>
      <c r="CX32" s="223">
        <v>35328179.939999998</v>
      </c>
      <c r="CY32" s="224">
        <f t="shared" si="38"/>
        <v>35328.179939999995</v>
      </c>
      <c r="DA32" s="224">
        <f t="shared" si="39"/>
        <v>0</v>
      </c>
      <c r="DC32" s="224">
        <f t="shared" si="40"/>
        <v>0</v>
      </c>
      <c r="DD32" s="224"/>
    </row>
    <row r="33" spans="1:108" x14ac:dyDescent="0.3">
      <c r="A33" s="232" t="s">
        <v>189</v>
      </c>
      <c r="B33" s="233">
        <f t="shared" ref="B33:D33" si="42">SUM(B7:B32)</f>
        <v>18100569312.130001</v>
      </c>
      <c r="C33" s="233">
        <f t="shared" si="42"/>
        <v>13402537418.4</v>
      </c>
      <c r="D33" s="233">
        <f t="shared" si="42"/>
        <v>769459421.28999996</v>
      </c>
      <c r="E33" s="233"/>
      <c r="F33" s="233">
        <f>SUM(F7:F32)</f>
        <v>33640988.623290002</v>
      </c>
      <c r="G33" s="233">
        <f t="shared" ref="G33:I33" si="43">SUM(G7:G32)</f>
        <v>8793698762.6000004</v>
      </c>
      <c r="H33" s="233">
        <f t="shared" si="43"/>
        <v>6786261687.2199993</v>
      </c>
      <c r="I33" s="233">
        <f t="shared" si="43"/>
        <v>82351595.010000005</v>
      </c>
      <c r="J33" s="233"/>
      <c r="K33" s="233">
        <f>SUM(K7:K32)</f>
        <v>15998403.444010001</v>
      </c>
      <c r="L33" s="233">
        <v>0</v>
      </c>
      <c r="M33" s="233">
        <f t="shared" ref="M33" si="44">SUM(M7:M32)</f>
        <v>40180763.75</v>
      </c>
      <c r="N33" s="233"/>
      <c r="O33" s="233">
        <f>SUM(O7:O32)</f>
        <v>1840020.9521900001</v>
      </c>
      <c r="P33" s="233">
        <f t="shared" ref="P33:Q33" si="45">SUM(P7:P32)</f>
        <v>587612650.73000002</v>
      </c>
      <c r="Q33" s="233">
        <f t="shared" si="45"/>
        <v>19373974.709999997</v>
      </c>
      <c r="R33" s="233"/>
      <c r="S33" s="233">
        <f>SUM(S7:S32)</f>
        <v>638596.6317599999</v>
      </c>
      <c r="X33" s="233">
        <f>SUM(X7:X32)</f>
        <v>36127208.767580003</v>
      </c>
      <c r="AC33" s="233">
        <f>SUM(AC7:AC32)</f>
        <v>17513158.885839999</v>
      </c>
      <c r="AD33" s="233">
        <f>SUM(AD7:AD32)</f>
        <v>31800967.671099998</v>
      </c>
      <c r="AE33" s="233">
        <f>SUM(AE7:AE32)</f>
        <v>15359806.812249999</v>
      </c>
      <c r="AF33" s="233">
        <f t="shared" si="14"/>
        <v>48.299809525005884</v>
      </c>
      <c r="AG33" s="230">
        <f>SUM(AG7:AG32)</f>
        <v>31802220</v>
      </c>
      <c r="AH33" s="230">
        <f t="shared" ref="AH33:AJ33" si="46">SUM(AH7:AH32)</f>
        <v>1252.3288999989891</v>
      </c>
      <c r="AI33" s="230">
        <f>SUM(AI7:AI32)</f>
        <v>15359888</v>
      </c>
      <c r="AJ33" s="230">
        <f t="shared" si="46"/>
        <v>81.187750000484812</v>
      </c>
      <c r="AK33" s="233">
        <f>SUM(AK7:AK32)</f>
        <v>34287187.815389998</v>
      </c>
      <c r="AL33" s="233">
        <f>SUM(AL7:AL32)</f>
        <v>16874562.254080001</v>
      </c>
      <c r="AM33" s="233">
        <f t="shared" si="18"/>
        <v>49.215358065923851</v>
      </c>
      <c r="AR33" s="226">
        <f>SUM(AR7:AR32)</f>
        <v>1251818.6700000288</v>
      </c>
      <c r="AS33" s="233">
        <f>SUM(AS7:AS32)</f>
        <v>21693527.078750007</v>
      </c>
      <c r="AT33" s="233">
        <f t="shared" ref="AT33:AV33" si="47">SUM(AT7:AT32)</f>
        <v>4628322808.2299995</v>
      </c>
      <c r="AU33" s="233">
        <f t="shared" si="47"/>
        <v>5695992492.7599993</v>
      </c>
      <c r="AV33" s="233">
        <f t="shared" si="47"/>
        <v>217270976.41000003</v>
      </c>
      <c r="AW33" s="233"/>
      <c r="AX33" s="226">
        <f>SUM(AX7:AX32)</f>
        <v>81124.999999996275</v>
      </c>
      <c r="AY33" s="233">
        <f>SUM(AY7:AY32)</f>
        <v>10911846.826719999</v>
      </c>
      <c r="AZ33" s="233">
        <f>SUM(AZ7:AZ32)</f>
        <v>19853506.126560006</v>
      </c>
      <c r="BA33" s="233">
        <f>SUM(BA7:BA32)</f>
        <v>10273250.19496</v>
      </c>
      <c r="BB33" s="233">
        <f t="shared" si="24"/>
        <v>51.745269220817647</v>
      </c>
      <c r="BG33" s="233">
        <f>SUM(BG7:BG32)</f>
        <v>12832128.623249998</v>
      </c>
      <c r="BL33" s="233">
        <f>SUM(BL7:BL32)</f>
        <v>5969462.5233900007</v>
      </c>
      <c r="BM33" s="233">
        <f t="shared" ref="BM33:BS33" si="48">SUM(BM7:BM32)</f>
        <v>0</v>
      </c>
      <c r="BN33" s="233">
        <f t="shared" si="48"/>
        <v>0</v>
      </c>
      <c r="BO33" s="233">
        <f t="shared" si="48"/>
        <v>0</v>
      </c>
      <c r="BP33" s="233">
        <f>SUM(BP7:BP32)</f>
        <v>0</v>
      </c>
      <c r="BQ33" s="233">
        <f t="shared" si="48"/>
        <v>0</v>
      </c>
      <c r="BR33" s="233">
        <f t="shared" si="48"/>
        <v>0</v>
      </c>
      <c r="BS33" s="233">
        <f t="shared" si="48"/>
        <v>0</v>
      </c>
      <c r="BT33" s="233">
        <f>SUM(BT7:BT32)</f>
        <v>0</v>
      </c>
      <c r="BU33" s="233" t="e">
        <f t="shared" si="29"/>
        <v>#DIV/0!</v>
      </c>
      <c r="BV33" s="233">
        <f t="shared" ref="BV33:CT33" si="49">SUM(BV7:BV32)</f>
        <v>1799225.2173899997</v>
      </c>
      <c r="BW33" s="233">
        <f t="shared" si="49"/>
        <v>1430059.8908599997</v>
      </c>
      <c r="BX33" s="233"/>
      <c r="BY33" s="233">
        <f t="shared" si="49"/>
        <v>1250502.8982200001</v>
      </c>
      <c r="BZ33" s="233">
        <f t="shared" si="49"/>
        <v>111236580.91999999</v>
      </c>
      <c r="CA33" s="233">
        <f t="shared" si="49"/>
        <v>111236.58091999999</v>
      </c>
      <c r="CB33" s="233">
        <f t="shared" si="49"/>
        <v>-548722.31917000003</v>
      </c>
      <c r="CC33" s="233">
        <f t="shared" si="49"/>
        <v>-1318823.3099400001</v>
      </c>
      <c r="CD33" s="233">
        <f>SUM(CD7:CD32)</f>
        <v>-2486220.1442899993</v>
      </c>
      <c r="CE33" s="233">
        <f>SUM(CE7:CE32)</f>
        <v>-1514755.4418300006</v>
      </c>
      <c r="CF33" s="233">
        <f t="shared" ref="CF33:CG33" si="50">SUM(CF7:CF32)</f>
        <v>3646162.2598299999</v>
      </c>
      <c r="CG33" s="233">
        <f t="shared" si="50"/>
        <v>3619476.9899999998</v>
      </c>
      <c r="CH33" s="233">
        <f t="shared" si="49"/>
        <v>-26685.269829999997</v>
      </c>
      <c r="CI33" s="233">
        <f t="shared" si="49"/>
        <v>8687342707.789999</v>
      </c>
      <c r="CJ33" s="233">
        <f t="shared" si="49"/>
        <v>10928427713.469999</v>
      </c>
      <c r="CK33" s="233">
        <f t="shared" si="49"/>
        <v>129570748.93000001</v>
      </c>
      <c r="CL33" s="233"/>
      <c r="CM33" s="233">
        <f t="shared" si="49"/>
        <v>20808860.000040002</v>
      </c>
      <c r="CN33" s="233">
        <f t="shared" si="49"/>
        <v>4397147391.4099998</v>
      </c>
      <c r="CO33" s="233">
        <f t="shared" si="49"/>
        <v>5585690594.3700008</v>
      </c>
      <c r="CP33" s="233">
        <f t="shared" si="49"/>
        <v>-172959927.56000003</v>
      </c>
      <c r="CQ33" s="233"/>
      <c r="CR33" s="233">
        <f t="shared" si="49"/>
        <v>10028940.920620002</v>
      </c>
      <c r="CS33" s="233">
        <f t="shared" si="49"/>
        <v>18968839.047850002</v>
      </c>
      <c r="CT33" s="233">
        <f t="shared" si="49"/>
        <v>9390344.2888600025</v>
      </c>
      <c r="CU33" s="233">
        <f t="shared" si="37"/>
        <v>49.504053807258906</v>
      </c>
      <c r="CV33" s="233">
        <f t="shared" ref="CV33:CY33" si="51">SUM(CV7:CV32)</f>
        <v>7956702010</v>
      </c>
      <c r="CW33" s="233">
        <f t="shared" si="51"/>
        <v>7956702.0099999998</v>
      </c>
      <c r="CY33" s="233">
        <f t="shared" si="51"/>
        <v>3697610.0294299996</v>
      </c>
      <c r="DA33" s="231">
        <f t="shared" ref="DA33" si="52">SUM(DA7:DA32)</f>
        <v>0</v>
      </c>
      <c r="DC33" s="231">
        <f t="shared" ref="DC33" si="53">SUM(DC7:DC32)</f>
        <v>0</v>
      </c>
      <c r="DD33" s="231" t="e">
        <f t="shared" ref="DD33" si="54">DC33/DA33%</f>
        <v>#DIV/0!</v>
      </c>
    </row>
    <row r="34" spans="1:108" s="224" customFormat="1" x14ac:dyDescent="0.3">
      <c r="A34" s="251"/>
      <c r="B34" s="227"/>
      <c r="C34" s="227"/>
      <c r="D34" s="227"/>
      <c r="E34" s="227"/>
      <c r="G34" s="227"/>
      <c r="H34" s="227"/>
      <c r="I34" s="227"/>
      <c r="J34" s="227"/>
      <c r="L34" s="227"/>
      <c r="M34" s="227"/>
      <c r="N34" s="227"/>
      <c r="O34" s="224">
        <f>'Приложение № 1.1'!T109*1000</f>
        <v>1840020.9521900001</v>
      </c>
      <c r="P34" s="227"/>
      <c r="Q34" s="227"/>
      <c r="R34" s="227"/>
      <c r="S34" s="224">
        <f>'Приложение № 1.1'!Z109*1000</f>
        <v>638596.63176000013</v>
      </c>
      <c r="T34" s="227"/>
      <c r="U34" s="227"/>
      <c r="V34" s="227"/>
      <c r="W34" s="227"/>
      <c r="Y34" s="227"/>
      <c r="Z34" s="227"/>
      <c r="AA34" s="227"/>
      <c r="AB34" s="227"/>
      <c r="AD34" s="224">
        <f>'Приложение № 1.1'!T37*1000</f>
        <v>31800967.671100002</v>
      </c>
      <c r="AE34" s="224">
        <f>'Приложение № 1.1'!Z37*1000</f>
        <v>15359806.812250001</v>
      </c>
      <c r="AK34" s="224">
        <f>'Приложение № 1.1'!T107*1000</f>
        <v>34287187.815390006</v>
      </c>
      <c r="AL34" s="224">
        <f>'Приложение № 1.1'!Z107*1000</f>
        <v>16874562.254079998</v>
      </c>
      <c r="AM34" s="224">
        <f t="shared" si="18"/>
        <v>49.21535806592383</v>
      </c>
      <c r="AN34" s="227"/>
      <c r="AO34" s="227"/>
      <c r="AP34" s="227"/>
      <c r="AQ34" s="227"/>
      <c r="AT34" s="227"/>
      <c r="AU34" s="227"/>
      <c r="AV34" s="227"/>
      <c r="AW34" s="227"/>
      <c r="AZ34" s="224">
        <f>'Приложение № 1.1'!T30*1000</f>
        <v>19853506.126559999</v>
      </c>
      <c r="BA34" s="224">
        <f>'Приложение № 1.1'!Z30*1000</f>
        <v>10273250.194960002</v>
      </c>
      <c r="BC34" s="227"/>
      <c r="BD34" s="227"/>
      <c r="BE34" s="227"/>
      <c r="BF34" s="227"/>
      <c r="BG34" s="224">
        <f>'Приложение № 1.1'!T11*1000</f>
        <v>12832128.623250002</v>
      </c>
      <c r="BH34" s="227"/>
      <c r="BI34" s="227"/>
      <c r="BJ34" s="227"/>
      <c r="BK34" s="227"/>
      <c r="BL34" s="224">
        <f>'Приложение № 1.1'!Z11*1000</f>
        <v>5969462.5233899988</v>
      </c>
      <c r="BM34" s="227"/>
      <c r="BN34" s="227"/>
      <c r="BO34" s="227"/>
      <c r="BQ34" s="227"/>
      <c r="BR34" s="227"/>
      <c r="BS34" s="227"/>
      <c r="BV34" s="224">
        <f>'Приложение № 1.1'!T137*1000</f>
        <v>1799225.2173900001</v>
      </c>
      <c r="BW34" s="224">
        <f>'Приложение № 1.1'!T138*1000</f>
        <v>1430059.8908600002</v>
      </c>
      <c r="BX34" s="227"/>
      <c r="BY34" s="224">
        <f>'Приложение № 1.1'!Z137*1000</f>
        <v>1250502.8982200001</v>
      </c>
      <c r="BZ34" s="227"/>
      <c r="CA34" s="224">
        <f>'Приложение № 1.1'!Z138*1000</f>
        <v>111236.58092000002</v>
      </c>
      <c r="CB34" s="224">
        <f>'Приложение № 1.1'!AF137*1000</f>
        <v>-548722.31917000003</v>
      </c>
      <c r="CC34" s="224">
        <f>'Приложение № 1.1'!AF138*1000</f>
        <v>-1318823.3099400001</v>
      </c>
      <c r="CD34" s="224">
        <f>'Приложение № 1.1'!T111*1000</f>
        <v>-2486220.1442900011</v>
      </c>
      <c r="CE34" s="224">
        <f>'Приложение № 1.1'!Z111*1000</f>
        <v>-1514755.441829996</v>
      </c>
      <c r="CF34" s="224">
        <f>'Приложение № 1.1'!T142*1000</f>
        <v>3646162.2598299999</v>
      </c>
      <c r="CG34" s="224">
        <f>'Приложение № 1.1'!Z142*1000</f>
        <v>3619476.99</v>
      </c>
      <c r="CI34" s="227"/>
      <c r="CJ34" s="227"/>
      <c r="CK34" s="227"/>
      <c r="CL34" s="227"/>
      <c r="CN34" s="227"/>
      <c r="CO34" s="227"/>
      <c r="CP34" s="227"/>
      <c r="CQ34" s="227"/>
      <c r="CS34" s="224">
        <f>'Приложение № 1.1'!T29*1000</f>
        <v>18968839.047850002</v>
      </c>
      <c r="CT34" s="224">
        <f>'Приложение № 1.1'!Z29*1000</f>
        <v>9390344.2888599988</v>
      </c>
      <c r="CU34" s="224">
        <f t="shared" si="37"/>
        <v>49.504053807258884</v>
      </c>
      <c r="CV34" s="227"/>
      <c r="CW34" s="224">
        <f>'Приложение № 1.1'!T13*1000</f>
        <v>7956702.0099999998</v>
      </c>
      <c r="CX34" s="227"/>
      <c r="CY34" s="224">
        <f>'Приложение № 1.1'!Z13*1000</f>
        <v>3697610.0294300006</v>
      </c>
      <c r="CZ34" s="227"/>
      <c r="DB34" s="227"/>
    </row>
    <row r="35" spans="1:108" s="224" customFormat="1" x14ac:dyDescent="0.3">
      <c r="A35" s="251"/>
      <c r="B35" s="227"/>
      <c r="C35" s="227"/>
      <c r="D35" s="227"/>
      <c r="E35" s="227"/>
      <c r="G35" s="227"/>
      <c r="H35" s="227"/>
      <c r="I35" s="227"/>
      <c r="J35" s="227"/>
      <c r="L35" s="227"/>
      <c r="M35" s="227"/>
      <c r="N35" s="227"/>
      <c r="O35" s="224">
        <f>O34-O33</f>
        <v>0</v>
      </c>
      <c r="P35" s="227"/>
      <c r="Q35" s="227"/>
      <c r="R35" s="227"/>
      <c r="S35" s="224">
        <f>S34-S33</f>
        <v>0</v>
      </c>
      <c r="T35" s="227"/>
      <c r="U35" s="227"/>
      <c r="V35" s="227"/>
      <c r="W35" s="227"/>
      <c r="Y35" s="227"/>
      <c r="Z35" s="227"/>
      <c r="AA35" s="227"/>
      <c r="AB35" s="227"/>
      <c r="AD35" s="224">
        <f>AD34-AD33</f>
        <v>0</v>
      </c>
      <c r="AE35" s="224">
        <f>AE34-AE33</f>
        <v>0</v>
      </c>
      <c r="AK35" s="224">
        <f>AK34-AK33</f>
        <v>0</v>
      </c>
      <c r="AL35" s="224">
        <f>AL34-AL33</f>
        <v>0</v>
      </c>
      <c r="AN35" s="227"/>
      <c r="AO35" s="227"/>
      <c r="AP35" s="227"/>
      <c r="AQ35" s="227"/>
      <c r="AT35" s="227"/>
      <c r="AU35" s="227"/>
      <c r="AV35" s="227"/>
      <c r="AW35" s="227"/>
      <c r="AZ35" s="224">
        <f>AZ34-AZ33</f>
        <v>0</v>
      </c>
      <c r="BA35" s="224">
        <f>BA34-BA33</f>
        <v>0</v>
      </c>
      <c r="BC35" s="227"/>
      <c r="BD35" s="227"/>
      <c r="BE35" s="227"/>
      <c r="BF35" s="227"/>
      <c r="BG35" s="224">
        <f>BG34-BG33</f>
        <v>0</v>
      </c>
      <c r="BH35" s="227"/>
      <c r="BI35" s="227"/>
      <c r="BJ35" s="227"/>
      <c r="BK35" s="227"/>
      <c r="BL35" s="224">
        <f>BL34-BL33</f>
        <v>0</v>
      </c>
      <c r="BM35" s="227"/>
      <c r="BN35" s="227"/>
      <c r="BO35" s="227"/>
      <c r="BQ35" s="227"/>
      <c r="BR35" s="227"/>
      <c r="BS35" s="227"/>
      <c r="BV35" s="224">
        <f>BV34-BV33</f>
        <v>0</v>
      </c>
      <c r="BW35" s="224">
        <f>BW34-BW33</f>
        <v>0</v>
      </c>
      <c r="BX35" s="227"/>
      <c r="BY35" s="224">
        <f>BY34-BY33</f>
        <v>0</v>
      </c>
      <c r="BZ35" s="227"/>
      <c r="CA35" s="224">
        <f>CA34-CA33</f>
        <v>0</v>
      </c>
      <c r="CB35" s="224">
        <f t="shared" ref="CB35:CC35" si="55">CB34-CB33</f>
        <v>0</v>
      </c>
      <c r="CC35" s="224">
        <f t="shared" si="55"/>
        <v>0</v>
      </c>
      <c r="CD35" s="224">
        <f>CD34-CD33</f>
        <v>0</v>
      </c>
      <c r="CE35" s="224">
        <f>CE34-CE33</f>
        <v>4.6566128730773926E-9</v>
      </c>
      <c r="CF35" s="224">
        <f>CF34-CF33</f>
        <v>0</v>
      </c>
      <c r="CG35" s="224">
        <f>CG34-CG33</f>
        <v>0</v>
      </c>
      <c r="CI35" s="227"/>
      <c r="CJ35" s="227"/>
      <c r="CK35" s="227"/>
      <c r="CL35" s="227"/>
      <c r="CN35" s="227"/>
      <c r="CO35" s="227"/>
      <c r="CP35" s="227"/>
      <c r="CQ35" s="227"/>
      <c r="CS35" s="224">
        <f>CS34-CS33</f>
        <v>0</v>
      </c>
      <c r="CT35" s="224">
        <f>CT34-CT33</f>
        <v>0</v>
      </c>
      <c r="CV35" s="227"/>
      <c r="CW35" s="224">
        <f>CW34-CW33</f>
        <v>0</v>
      </c>
      <c r="CX35" s="227"/>
      <c r="CY35" s="224">
        <f>CY34-CY33</f>
        <v>0</v>
      </c>
      <c r="CZ35" s="227"/>
      <c r="DB35" s="227"/>
    </row>
  </sheetData>
  <mergeCells count="59">
    <mergeCell ref="AG4:AJ4"/>
    <mergeCell ref="Y5:AC5"/>
    <mergeCell ref="AD5:AD6"/>
    <mergeCell ref="AE5:AE6"/>
    <mergeCell ref="AF5:AF6"/>
    <mergeCell ref="A4:A6"/>
    <mergeCell ref="B4:K4"/>
    <mergeCell ref="L4:S4"/>
    <mergeCell ref="T4:AC4"/>
    <mergeCell ref="AD4:AF4"/>
    <mergeCell ref="B5:F5"/>
    <mergeCell ref="G5:K5"/>
    <mergeCell ref="L5:O5"/>
    <mergeCell ref="P5:S5"/>
    <mergeCell ref="T5:X5"/>
    <mergeCell ref="AK4:AM4"/>
    <mergeCell ref="AN4:AY4"/>
    <mergeCell ref="AZ4:BB4"/>
    <mergeCell ref="BC4:BL4"/>
    <mergeCell ref="BM4:BU4"/>
    <mergeCell ref="CV4:CY4"/>
    <mergeCell ref="CV5:CW5"/>
    <mergeCell ref="CX5:CY5"/>
    <mergeCell ref="BX4:BY6"/>
    <mergeCell ref="BZ4:CA4"/>
    <mergeCell ref="CB4:CB6"/>
    <mergeCell ref="CD4:CE5"/>
    <mergeCell ref="BQ5:BT5"/>
    <mergeCell ref="AG5:AG6"/>
    <mergeCell ref="AH5:AH6"/>
    <mergeCell ref="AI5:AI6"/>
    <mergeCell ref="AJ5:AJ6"/>
    <mergeCell ref="AK5:AK6"/>
    <mergeCell ref="AL5:AL6"/>
    <mergeCell ref="AM5:AM6"/>
    <mergeCell ref="AN5:AS5"/>
    <mergeCell ref="AT5:AY5"/>
    <mergeCell ref="AZ5:AZ6"/>
    <mergeCell ref="BA5:BA6"/>
    <mergeCell ref="BB5:BB6"/>
    <mergeCell ref="BC5:BG5"/>
    <mergeCell ref="BH5:BL5"/>
    <mergeCell ref="BM5:BP5"/>
    <mergeCell ref="DB5:DC5"/>
    <mergeCell ref="DD5:DD6"/>
    <mergeCell ref="CZ5:DA5"/>
    <mergeCell ref="BU5:BU6"/>
    <mergeCell ref="BW5:BW6"/>
    <mergeCell ref="BZ5:CA6"/>
    <mergeCell ref="CC5:CC6"/>
    <mergeCell ref="CI5:CM5"/>
    <mergeCell ref="CN5:CR5"/>
    <mergeCell ref="CF4:CF6"/>
    <mergeCell ref="CG4:CG6"/>
    <mergeCell ref="BV4:BV6"/>
    <mergeCell ref="CZ4:DD4"/>
    <mergeCell ref="CH4:CH6"/>
    <mergeCell ref="CI4:CR4"/>
    <mergeCell ref="CS4:CU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8" sqref="F8"/>
    </sheetView>
  </sheetViews>
  <sheetFormatPr defaultColWidth="9.109375" defaultRowHeight="13.8" x14ac:dyDescent="0.25"/>
  <cols>
    <col min="1" max="1" width="25.109375" style="277" customWidth="1"/>
    <col min="2" max="2" width="12.109375" style="277" customWidth="1"/>
    <col min="3" max="3" width="7" style="277" customWidth="1"/>
    <col min="4" max="4" width="11.44140625" style="277" customWidth="1"/>
    <col min="5" max="5" width="7.33203125" style="277" customWidth="1"/>
    <col min="6" max="6" width="9.88671875" style="277" bestFit="1" customWidth="1"/>
    <col min="7" max="16384" width="9.109375" style="277"/>
  </cols>
  <sheetData>
    <row r="1" spans="1:7" x14ac:dyDescent="0.25">
      <c r="A1" s="442" t="s">
        <v>265</v>
      </c>
      <c r="B1" s="442"/>
      <c r="C1" s="442"/>
      <c r="D1" s="442"/>
      <c r="E1" s="442"/>
      <c r="F1" s="442"/>
      <c r="G1" s="442"/>
    </row>
    <row r="2" spans="1:7" ht="14.4" thickBot="1" x14ac:dyDescent="0.3"/>
    <row r="3" spans="1:7" ht="62.25" customHeight="1" thickTop="1" x14ac:dyDescent="0.25">
      <c r="A3" s="443" t="s">
        <v>254</v>
      </c>
      <c r="B3" s="440" t="s">
        <v>256</v>
      </c>
      <c r="C3" s="440" t="s">
        <v>255</v>
      </c>
      <c r="D3" s="440" t="s">
        <v>266</v>
      </c>
      <c r="E3" s="440" t="s">
        <v>255</v>
      </c>
      <c r="F3" s="440" t="s">
        <v>257</v>
      </c>
      <c r="G3" s="441"/>
    </row>
    <row r="4" spans="1:7" ht="31.2" x14ac:dyDescent="0.25">
      <c r="A4" s="444"/>
      <c r="B4" s="445"/>
      <c r="C4" s="445"/>
      <c r="D4" s="445"/>
      <c r="E4" s="445"/>
      <c r="F4" s="282" t="s">
        <v>258</v>
      </c>
      <c r="G4" s="283" t="s">
        <v>259</v>
      </c>
    </row>
    <row r="5" spans="1:7" ht="15.6" x14ac:dyDescent="0.25">
      <c r="A5" s="284" t="s">
        <v>260</v>
      </c>
      <c r="B5" s="285">
        <v>4701.3999999999996</v>
      </c>
      <c r="C5" s="285">
        <f>B5/$B$9%</f>
        <v>50.328644528657371</v>
      </c>
      <c r="D5" s="285">
        <f>4015937/1000</f>
        <v>4015.9369999999999</v>
      </c>
      <c r="E5" s="285">
        <f>D5/$D$9%</f>
        <v>58.346522330313626</v>
      </c>
      <c r="F5" s="285">
        <f>D5-B5</f>
        <v>-685.46299999999974</v>
      </c>
      <c r="G5" s="286">
        <f>E5-C5</f>
        <v>8.0178778016562546</v>
      </c>
    </row>
    <row r="6" spans="1:7" ht="15.6" x14ac:dyDescent="0.25">
      <c r="A6" s="284" t="s">
        <v>261</v>
      </c>
      <c r="B6" s="285">
        <v>713.5</v>
      </c>
      <c r="C6" s="285">
        <f t="shared" ref="C6:C9" si="0">B6/$B$9%</f>
        <v>7.6380414070696041</v>
      </c>
      <c r="D6" s="285">
        <f>450290.6684/1000</f>
        <v>450.29066840000002</v>
      </c>
      <c r="E6" s="285">
        <f>D6/$D$9%</f>
        <v>6.5421580415560427</v>
      </c>
      <c r="F6" s="285">
        <f t="shared" ref="F6:F9" si="1">D6-B6</f>
        <v>-263.20933159999998</v>
      </c>
      <c r="G6" s="286">
        <f t="shared" ref="G6:G9" si="2">E6-C6</f>
        <v>-1.0958833655135614</v>
      </c>
    </row>
    <row r="7" spans="1:7" ht="15.6" x14ac:dyDescent="0.25">
      <c r="A7" s="284" t="s">
        <v>262</v>
      </c>
      <c r="B7" s="285">
        <v>1825.9</v>
      </c>
      <c r="C7" s="285">
        <f t="shared" si="0"/>
        <v>19.546320679983729</v>
      </c>
      <c r="D7" s="285">
        <f>1592165.86137/1000</f>
        <v>1592.1658613700001</v>
      </c>
      <c r="E7" s="285">
        <f t="shared" ref="E7:E9" si="3">D7/$D$9%</f>
        <v>23.132170894112068</v>
      </c>
      <c r="F7" s="285">
        <f t="shared" si="1"/>
        <v>-233.73413862999996</v>
      </c>
      <c r="G7" s="286">
        <f t="shared" si="2"/>
        <v>3.5858502141283388</v>
      </c>
    </row>
    <row r="8" spans="1:7" ht="31.2" x14ac:dyDescent="0.25">
      <c r="A8" s="284" t="s">
        <v>263</v>
      </c>
      <c r="B8" s="285">
        <v>2100.6</v>
      </c>
      <c r="C8" s="285">
        <f t="shared" si="0"/>
        <v>22.486993384289292</v>
      </c>
      <c r="D8" s="285">
        <f>824513.6935/1000</f>
        <v>824.51369350000004</v>
      </c>
      <c r="E8" s="285">
        <f t="shared" si="3"/>
        <v>11.979148734018267</v>
      </c>
      <c r="F8" s="285">
        <f t="shared" si="1"/>
        <v>-1276.0863064999999</v>
      </c>
      <c r="G8" s="286">
        <f t="shared" si="2"/>
        <v>-10.507844650271025</v>
      </c>
    </row>
    <row r="9" spans="1:7" s="278" customFormat="1" ht="15" customHeight="1" thickBot="1" x14ac:dyDescent="0.3">
      <c r="A9" s="287" t="s">
        <v>264</v>
      </c>
      <c r="B9" s="288">
        <v>9341.4</v>
      </c>
      <c r="C9" s="288">
        <f t="shared" si="0"/>
        <v>100</v>
      </c>
      <c r="D9" s="288">
        <f>6882907.22327/1000</f>
        <v>6882.90722327</v>
      </c>
      <c r="E9" s="288">
        <f t="shared" si="3"/>
        <v>100</v>
      </c>
      <c r="F9" s="288">
        <f t="shared" si="1"/>
        <v>-2458.4927767299996</v>
      </c>
      <c r="G9" s="289">
        <f t="shared" si="2"/>
        <v>0</v>
      </c>
    </row>
    <row r="10" spans="1:7" ht="14.4" thickTop="1" x14ac:dyDescent="0.25"/>
  </sheetData>
  <mergeCells count="7">
    <mergeCell ref="F3:G3"/>
    <mergeCell ref="A1:G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4" zoomScale="115" zoomScaleNormal="115" workbookViewId="0">
      <pane xSplit="1" ySplit="6" topLeftCell="B10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ColWidth="8.6640625" defaultRowHeight="13.2" x14ac:dyDescent="0.3"/>
  <cols>
    <col min="1" max="1" width="46.6640625" style="1" customWidth="1"/>
    <col min="2" max="2" width="9.33203125" style="3" customWidth="1"/>
    <col min="3" max="3" width="8.6640625" style="3"/>
    <col min="4" max="4" width="9.44140625" style="3" customWidth="1"/>
    <col min="5" max="5" width="8.6640625" style="3" customWidth="1"/>
    <col min="6" max="6" width="8.44140625" style="3" customWidth="1"/>
    <col min="7" max="7" width="8" style="3" customWidth="1"/>
    <col min="8" max="8" width="8.88671875" style="3" customWidth="1"/>
    <col min="9" max="10" width="9.33203125" style="3" customWidth="1"/>
    <col min="11" max="13" width="8" style="3" customWidth="1"/>
    <col min="14" max="14" width="10.33203125" style="3" customWidth="1"/>
    <col min="15" max="15" width="8.109375" style="3" customWidth="1"/>
    <col min="16" max="16" width="9.5546875" style="3" customWidth="1"/>
    <col min="17" max="17" width="7.5546875" style="3" customWidth="1"/>
    <col min="18" max="18" width="6.88671875" style="3" customWidth="1"/>
    <col min="19" max="19" width="6.6640625" style="3" customWidth="1"/>
    <col min="20" max="20" width="10.33203125" style="3" hidden="1" customWidth="1"/>
    <col min="21" max="22" width="8.6640625" style="3" hidden="1" customWidth="1"/>
    <col min="23" max="16384" width="8.6640625" style="3"/>
  </cols>
  <sheetData>
    <row r="1" spans="1:22" ht="15" customHeight="1" x14ac:dyDescent="0.3">
      <c r="Q1" s="401" t="s">
        <v>271</v>
      </c>
      <c r="R1" s="401"/>
      <c r="S1" s="401"/>
    </row>
    <row r="3" spans="1:22" ht="15.45" customHeight="1" x14ac:dyDescent="0.3">
      <c r="A3" s="400" t="s">
        <v>222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</row>
    <row r="4" spans="1:22" ht="13.8" thickBot="1" x14ac:dyDescent="0.35"/>
    <row r="5" spans="1:22" ht="13.95" customHeight="1" thickTop="1" x14ac:dyDescent="0.3">
      <c r="A5" s="392" t="s">
        <v>0</v>
      </c>
      <c r="B5" s="394" t="s">
        <v>223</v>
      </c>
      <c r="C5" s="394"/>
      <c r="D5" s="394"/>
      <c r="E5" s="394"/>
      <c r="F5" s="394"/>
      <c r="G5" s="394"/>
      <c r="H5" s="394" t="s">
        <v>126</v>
      </c>
      <c r="I5" s="394"/>
      <c r="J5" s="394"/>
      <c r="K5" s="394"/>
      <c r="L5" s="394"/>
      <c r="M5" s="394"/>
      <c r="N5" s="394" t="s">
        <v>224</v>
      </c>
      <c r="O5" s="394"/>
      <c r="P5" s="394"/>
      <c r="Q5" s="394"/>
      <c r="R5" s="394"/>
      <c r="S5" s="395"/>
      <c r="U5" s="259"/>
      <c r="V5" s="259"/>
    </row>
    <row r="6" spans="1:22" ht="13.2" customHeight="1" x14ac:dyDescent="0.3">
      <c r="A6" s="393"/>
      <c r="B6" s="387" t="s">
        <v>2</v>
      </c>
      <c r="C6" s="396" t="s">
        <v>4</v>
      </c>
      <c r="D6" s="396"/>
      <c r="E6" s="396"/>
      <c r="F6" s="396"/>
      <c r="G6" s="396"/>
      <c r="H6" s="387" t="s">
        <v>2</v>
      </c>
      <c r="I6" s="396" t="s">
        <v>4</v>
      </c>
      <c r="J6" s="396"/>
      <c r="K6" s="396"/>
      <c r="L6" s="396"/>
      <c r="M6" s="396"/>
      <c r="N6" s="387" t="s">
        <v>2</v>
      </c>
      <c r="O6" s="396" t="s">
        <v>4</v>
      </c>
      <c r="P6" s="396"/>
      <c r="Q6" s="396"/>
      <c r="R6" s="396"/>
      <c r="S6" s="397"/>
      <c r="U6" s="259"/>
      <c r="V6" s="259"/>
    </row>
    <row r="7" spans="1:22" s="259" customFormat="1" ht="13.2" customHeight="1" x14ac:dyDescent="0.3">
      <c r="A7" s="393"/>
      <c r="B7" s="387"/>
      <c r="C7" s="387" t="s">
        <v>6</v>
      </c>
      <c r="D7" s="385" t="s">
        <v>7</v>
      </c>
      <c r="E7" s="396" t="s">
        <v>8</v>
      </c>
      <c r="F7" s="396"/>
      <c r="G7" s="396"/>
      <c r="H7" s="387"/>
      <c r="I7" s="387" t="s">
        <v>6</v>
      </c>
      <c r="J7" s="385" t="s">
        <v>7</v>
      </c>
      <c r="K7" s="396" t="s">
        <v>8</v>
      </c>
      <c r="L7" s="396"/>
      <c r="M7" s="396"/>
      <c r="N7" s="387"/>
      <c r="O7" s="385" t="s">
        <v>6</v>
      </c>
      <c r="P7" s="385" t="s">
        <v>7</v>
      </c>
      <c r="Q7" s="402" t="s">
        <v>8</v>
      </c>
      <c r="R7" s="402"/>
      <c r="S7" s="403"/>
    </row>
    <row r="8" spans="1:22" s="259" customFormat="1" ht="51" customHeight="1" x14ac:dyDescent="0.3">
      <c r="A8" s="393"/>
      <c r="B8" s="387"/>
      <c r="C8" s="387"/>
      <c r="D8" s="385"/>
      <c r="E8" s="257" t="s">
        <v>9</v>
      </c>
      <c r="F8" s="257" t="s">
        <v>10</v>
      </c>
      <c r="G8" s="257" t="s">
        <v>11</v>
      </c>
      <c r="H8" s="387"/>
      <c r="I8" s="387"/>
      <c r="J8" s="385"/>
      <c r="K8" s="257" t="s">
        <v>9</v>
      </c>
      <c r="L8" s="257" t="s">
        <v>10</v>
      </c>
      <c r="M8" s="257" t="s">
        <v>11</v>
      </c>
      <c r="N8" s="387"/>
      <c r="O8" s="385"/>
      <c r="P8" s="385"/>
      <c r="Q8" s="260" t="s">
        <v>9</v>
      </c>
      <c r="R8" s="260" t="s">
        <v>10</v>
      </c>
      <c r="S8" s="261" t="s">
        <v>12</v>
      </c>
    </row>
    <row r="9" spans="1:22" s="259" customFormat="1" ht="12.75" customHeight="1" x14ac:dyDescent="0.3">
      <c r="A9" s="16" t="s">
        <v>13</v>
      </c>
      <c r="B9" s="17" t="s">
        <v>14</v>
      </c>
      <c r="C9" s="17" t="s">
        <v>15</v>
      </c>
      <c r="D9" s="17" t="s">
        <v>16</v>
      </c>
      <c r="E9" s="19">
        <v>4</v>
      </c>
      <c r="F9" s="19">
        <v>5</v>
      </c>
      <c r="G9" s="19">
        <v>6</v>
      </c>
      <c r="H9" s="17" t="s">
        <v>17</v>
      </c>
      <c r="I9" s="17" t="s">
        <v>18</v>
      </c>
      <c r="J9" s="17" t="s">
        <v>19</v>
      </c>
      <c r="K9" s="19">
        <v>10</v>
      </c>
      <c r="L9" s="19">
        <v>11</v>
      </c>
      <c r="M9" s="19">
        <v>12</v>
      </c>
      <c r="N9" s="17" t="s">
        <v>225</v>
      </c>
      <c r="O9" s="17" t="s">
        <v>226</v>
      </c>
      <c r="P9" s="17" t="s">
        <v>227</v>
      </c>
      <c r="Q9" s="19" t="s">
        <v>228</v>
      </c>
      <c r="R9" s="19" t="s">
        <v>229</v>
      </c>
      <c r="S9" s="20" t="s">
        <v>230</v>
      </c>
    </row>
    <row r="10" spans="1:22" s="259" customFormat="1" x14ac:dyDescent="0.3">
      <c r="A10" s="37" t="s">
        <v>28</v>
      </c>
      <c r="B10" s="40">
        <v>27718.87041861</v>
      </c>
      <c r="C10" s="40">
        <v>21811.139413790002</v>
      </c>
      <c r="D10" s="40">
        <v>5907.7310048199997</v>
      </c>
      <c r="E10" s="40">
        <v>4331.1148652900001</v>
      </c>
      <c r="F10" s="40">
        <v>1019.83013169</v>
      </c>
      <c r="G10" s="40">
        <v>556.78600784000002</v>
      </c>
      <c r="H10" s="40">
        <f>'Приложение № 1.1'!X11</f>
        <v>27238.25801546</v>
      </c>
      <c r="I10" s="40">
        <f>'Приложение № 1.1'!Y11</f>
        <v>21268.68476824</v>
      </c>
      <c r="J10" s="40">
        <f>'Приложение № 1.1'!Z11</f>
        <v>5969.4625233899988</v>
      </c>
      <c r="K10" s="40">
        <f>'Приложение № 1.1'!AA11</f>
        <v>4396.5513711899994</v>
      </c>
      <c r="L10" s="40">
        <f>'Приложение № 1.1'!AB11</f>
        <v>1200.57109285</v>
      </c>
      <c r="M10" s="40">
        <f>'Приложение № 1.1'!AC11</f>
        <v>372.34005935000005</v>
      </c>
      <c r="N10" s="40">
        <f>+H10-B10</f>
        <v>-480.61240315000032</v>
      </c>
      <c r="O10" s="40">
        <f t="shared" ref="O10:S25" si="0">+I10-C10</f>
        <v>-542.45464555000217</v>
      </c>
      <c r="P10" s="40">
        <f>+J10-D10</f>
        <v>61.731518569999025</v>
      </c>
      <c r="Q10" s="40">
        <f t="shared" si="0"/>
        <v>65.436505899999247</v>
      </c>
      <c r="R10" s="40">
        <f t="shared" si="0"/>
        <v>180.74096115999998</v>
      </c>
      <c r="S10" s="41">
        <f t="shared" si="0"/>
        <v>-184.44594848999998</v>
      </c>
      <c r="T10" s="205">
        <f>B10/B33%</f>
        <v>74.432151137888681</v>
      </c>
      <c r="U10" s="70">
        <f>H10/H33%</f>
        <v>77.721430445508773</v>
      </c>
      <c r="V10" s="70">
        <f>U10-T10</f>
        <v>3.2892793076200917</v>
      </c>
    </row>
    <row r="11" spans="1:22" s="263" customFormat="1" x14ac:dyDescent="0.3">
      <c r="A11" s="262" t="s">
        <v>29</v>
      </c>
      <c r="B11" s="33">
        <v>7768.3057012099998</v>
      </c>
      <c r="C11" s="33">
        <v>7768.3057012099998</v>
      </c>
      <c r="D11" s="33">
        <v>0</v>
      </c>
      <c r="E11" s="33">
        <v>0</v>
      </c>
      <c r="F11" s="33">
        <v>0</v>
      </c>
      <c r="G11" s="33">
        <v>0</v>
      </c>
      <c r="H11" s="33">
        <f>'Приложение № 1.1'!X12</f>
        <v>5926.4528698900003</v>
      </c>
      <c r="I11" s="33">
        <f>'Приложение № 1.1'!Y12</f>
        <v>5926.4528698900003</v>
      </c>
      <c r="J11" s="33">
        <f>'Приложение № 1.1'!Z12</f>
        <v>0</v>
      </c>
      <c r="K11" s="33">
        <f>'Приложение № 1.1'!AA12</f>
        <v>0</v>
      </c>
      <c r="L11" s="33">
        <f>'Приложение № 1.1'!AB12</f>
        <v>0</v>
      </c>
      <c r="M11" s="33">
        <f>'Приложение № 1.1'!AC12</f>
        <v>0</v>
      </c>
      <c r="N11" s="33">
        <f t="shared" ref="N11:S33" si="1">+H11-B11</f>
        <v>-1841.8528313199995</v>
      </c>
      <c r="O11" s="33">
        <f t="shared" si="0"/>
        <v>-1841.8528313199995</v>
      </c>
      <c r="P11" s="33">
        <f t="shared" si="0"/>
        <v>0</v>
      </c>
      <c r="Q11" s="33">
        <f t="shared" si="0"/>
        <v>0</v>
      </c>
      <c r="R11" s="33">
        <f t="shared" si="0"/>
        <v>0</v>
      </c>
      <c r="S11" s="35">
        <f t="shared" si="0"/>
        <v>0</v>
      </c>
      <c r="T11" s="276">
        <f>D10/D33%</f>
        <v>37.654587900437669</v>
      </c>
      <c r="U11" s="4">
        <f>J10/J33%</f>
        <v>38.864177110802835</v>
      </c>
      <c r="V11" s="70">
        <f>U11-T11</f>
        <v>1.2095892103651664</v>
      </c>
    </row>
    <row r="12" spans="1:22" x14ac:dyDescent="0.3">
      <c r="A12" s="262" t="s">
        <v>31</v>
      </c>
      <c r="B12" s="33">
        <v>10585.563994419999</v>
      </c>
      <c r="C12" s="33">
        <v>7039.0281710200006</v>
      </c>
      <c r="D12" s="33">
        <v>3546.5358234</v>
      </c>
      <c r="E12" s="33">
        <v>2693.4499606700001</v>
      </c>
      <c r="F12" s="33">
        <v>610.33475795000004</v>
      </c>
      <c r="G12" s="33">
        <v>242.75110477999999</v>
      </c>
      <c r="H12" s="33">
        <f>'Приложение № 1.1'!X13</f>
        <v>11158.374647280001</v>
      </c>
      <c r="I12" s="33">
        <f>'Приложение № 1.1'!Y13</f>
        <v>7460.7646178500008</v>
      </c>
      <c r="J12" s="33">
        <f>'Приложение № 1.1'!Z13</f>
        <v>3697.6100294300004</v>
      </c>
      <c r="K12" s="33">
        <f>'Приложение № 1.1'!AA13</f>
        <v>2803.2097597900001</v>
      </c>
      <c r="L12" s="33">
        <f>'Приложение № 1.1'!AB13</f>
        <v>737.45746357000007</v>
      </c>
      <c r="M12" s="33">
        <f>'Приложение № 1.1'!AC13</f>
        <v>156.94280606999999</v>
      </c>
      <c r="N12" s="33">
        <f t="shared" si="1"/>
        <v>572.81065286000194</v>
      </c>
      <c r="O12" s="33">
        <f t="shared" si="0"/>
        <v>421.7364468300002</v>
      </c>
      <c r="P12" s="33">
        <f t="shared" si="0"/>
        <v>151.07420603000037</v>
      </c>
      <c r="Q12" s="33">
        <f t="shared" si="0"/>
        <v>109.75979912000003</v>
      </c>
      <c r="R12" s="33">
        <f t="shared" si="0"/>
        <v>127.12270562000003</v>
      </c>
      <c r="S12" s="35">
        <f t="shared" si="0"/>
        <v>-85.808298710000003</v>
      </c>
    </row>
    <row r="13" spans="1:22" x14ac:dyDescent="0.3">
      <c r="A13" s="262" t="s">
        <v>32</v>
      </c>
      <c r="B13" s="33">
        <v>1725.3654037900001</v>
      </c>
      <c r="C13" s="33">
        <v>1589.5615657999999</v>
      </c>
      <c r="D13" s="33">
        <v>135.80383799000001</v>
      </c>
      <c r="E13" s="33">
        <v>14.77301312</v>
      </c>
      <c r="F13" s="33">
        <v>50.191740539999998</v>
      </c>
      <c r="G13" s="33">
        <v>70.839084329999991</v>
      </c>
      <c r="H13" s="33">
        <f>'Приложение № 1.1'!X14</f>
        <v>2137.5614995400001</v>
      </c>
      <c r="I13" s="33">
        <f>'Приложение № 1.1'!Y14</f>
        <v>1977.1466006400001</v>
      </c>
      <c r="J13" s="33">
        <f>'Приложение № 1.1'!Z14</f>
        <v>160.41489889999997</v>
      </c>
      <c r="K13" s="33">
        <f>'Приложение № 1.1'!AA14</f>
        <v>19.566607390000001</v>
      </c>
      <c r="L13" s="33">
        <f>'Приложение № 1.1'!AB14</f>
        <v>116.85455387</v>
      </c>
      <c r="M13" s="33">
        <f>'Приложение № 1.1'!AC14</f>
        <v>23.993737639999999</v>
      </c>
      <c r="N13" s="33">
        <f t="shared" si="1"/>
        <v>412.19609575000004</v>
      </c>
      <c r="O13" s="33">
        <f t="shared" si="0"/>
        <v>387.58503484000016</v>
      </c>
      <c r="P13" s="33">
        <f t="shared" si="0"/>
        <v>24.611060909999964</v>
      </c>
      <c r="Q13" s="33">
        <f t="shared" si="0"/>
        <v>4.7935942700000016</v>
      </c>
      <c r="R13" s="33">
        <f t="shared" si="0"/>
        <v>66.662813330000006</v>
      </c>
      <c r="S13" s="35">
        <f t="shared" si="0"/>
        <v>-46.845346689999992</v>
      </c>
    </row>
    <row r="14" spans="1:22" x14ac:dyDescent="0.3">
      <c r="A14" s="262" t="s">
        <v>33</v>
      </c>
      <c r="B14" s="33">
        <v>1839.1499539200001</v>
      </c>
      <c r="C14" s="33">
        <v>1263.1378291400001</v>
      </c>
      <c r="D14" s="33">
        <v>576.01212478000002</v>
      </c>
      <c r="E14" s="33">
        <v>403.82575152999999</v>
      </c>
      <c r="F14" s="33">
        <v>163.70275796000001</v>
      </c>
      <c r="G14" s="33">
        <v>8.4836152899999995</v>
      </c>
      <c r="H14" s="33">
        <f>'Приложение № 1.1'!X15</f>
        <v>1894.0489745499999</v>
      </c>
      <c r="I14" s="33">
        <f>'Приложение № 1.1'!Y15</f>
        <v>1298.8953606500002</v>
      </c>
      <c r="J14" s="33">
        <f>'Приложение № 1.1'!Z15</f>
        <v>595.15361389999998</v>
      </c>
      <c r="K14" s="33">
        <f>'Приложение № 1.1'!AA15</f>
        <v>425.40422751</v>
      </c>
      <c r="L14" s="33">
        <f>'Приложение № 1.1'!AB15</f>
        <v>163.39701974000002</v>
      </c>
      <c r="M14" s="33">
        <f>'Приложение № 1.1'!AC15</f>
        <v>6.3523666499999996</v>
      </c>
      <c r="N14" s="33">
        <f t="shared" si="1"/>
        <v>54.899020629999768</v>
      </c>
      <c r="O14" s="33">
        <f t="shared" si="0"/>
        <v>35.757531510000035</v>
      </c>
      <c r="P14" s="33">
        <f t="shared" si="0"/>
        <v>19.14148911999996</v>
      </c>
      <c r="Q14" s="33">
        <f t="shared" si="0"/>
        <v>21.578475980000007</v>
      </c>
      <c r="R14" s="33">
        <f t="shared" si="0"/>
        <v>-0.30573821999999495</v>
      </c>
      <c r="S14" s="35">
        <f t="shared" si="0"/>
        <v>-2.1312486399999999</v>
      </c>
    </row>
    <row r="15" spans="1:22" x14ac:dyDescent="0.3">
      <c r="A15" s="262" t="s">
        <v>34</v>
      </c>
      <c r="B15" s="33">
        <v>3180.2218109800001</v>
      </c>
      <c r="C15" s="33">
        <v>2828.1827143800001</v>
      </c>
      <c r="D15" s="33">
        <v>352.03909660000005</v>
      </c>
      <c r="E15" s="33">
        <v>252.77867202000002</v>
      </c>
      <c r="F15" s="33">
        <v>1E-3</v>
      </c>
      <c r="G15" s="33">
        <v>99.259424580000001</v>
      </c>
      <c r="H15" s="33">
        <f>'Приложение № 1.1'!X16</f>
        <v>3172.3003734399999</v>
      </c>
      <c r="I15" s="33">
        <f>'Приложение № 1.1'!Y16</f>
        <v>2856.4944689099998</v>
      </c>
      <c r="J15" s="33">
        <f>'Приложение № 1.1'!Z16</f>
        <v>315.80590453000002</v>
      </c>
      <c r="K15" s="33">
        <f>'Приложение № 1.1'!AA16</f>
        <v>241.22150011000002</v>
      </c>
      <c r="L15" s="33">
        <f>'Приложение № 1.1'!AB16</f>
        <v>0</v>
      </c>
      <c r="M15" s="33">
        <f>'Приложение № 1.1'!AC16</f>
        <v>74.584404419999998</v>
      </c>
      <c r="N15" s="33">
        <f t="shared" si="1"/>
        <v>-7.92143754000017</v>
      </c>
      <c r="O15" s="33">
        <f t="shared" si="0"/>
        <v>28.311754529999689</v>
      </c>
      <c r="P15" s="33">
        <f t="shared" si="0"/>
        <v>-36.23319207000003</v>
      </c>
      <c r="Q15" s="33">
        <f t="shared" si="0"/>
        <v>-11.557171909999994</v>
      </c>
      <c r="R15" s="33">
        <f t="shared" si="0"/>
        <v>-1E-3</v>
      </c>
      <c r="S15" s="35">
        <f t="shared" si="0"/>
        <v>-24.675020160000003</v>
      </c>
    </row>
    <row r="16" spans="1:22" ht="26.4" x14ac:dyDescent="0.3">
      <c r="A16" s="262" t="s">
        <v>35</v>
      </c>
      <c r="B16" s="33">
        <v>772.57581420000008</v>
      </c>
      <c r="C16" s="33">
        <v>772.57581420000008</v>
      </c>
      <c r="D16" s="33">
        <v>0</v>
      </c>
      <c r="E16" s="33">
        <v>0</v>
      </c>
      <c r="F16" s="33">
        <v>0</v>
      </c>
      <c r="G16" s="33">
        <v>0</v>
      </c>
      <c r="H16" s="33">
        <f>'Приложение № 1.1'!X17</f>
        <v>1117.65093718</v>
      </c>
      <c r="I16" s="33">
        <f>'Приложение № 1.1'!Y17</f>
        <v>1117.65093718</v>
      </c>
      <c r="J16" s="33">
        <f>'Приложение № 1.1'!Z17</f>
        <v>0</v>
      </c>
      <c r="K16" s="33">
        <f>'Приложение № 1.1'!AA17</f>
        <v>0</v>
      </c>
      <c r="L16" s="33">
        <f>'Приложение № 1.1'!AB17</f>
        <v>0</v>
      </c>
      <c r="M16" s="33">
        <f>'Приложение № 1.1'!AC17</f>
        <v>0</v>
      </c>
      <c r="N16" s="33">
        <f t="shared" si="1"/>
        <v>345.07512297999995</v>
      </c>
      <c r="O16" s="33">
        <f t="shared" si="0"/>
        <v>345.07512297999995</v>
      </c>
      <c r="P16" s="33">
        <f t="shared" si="0"/>
        <v>0</v>
      </c>
      <c r="Q16" s="33">
        <f t="shared" si="0"/>
        <v>0</v>
      </c>
      <c r="R16" s="33">
        <f t="shared" si="0"/>
        <v>0</v>
      </c>
      <c r="S16" s="35">
        <f t="shared" si="0"/>
        <v>0</v>
      </c>
    </row>
    <row r="17" spans="1:22" x14ac:dyDescent="0.3">
      <c r="A17" s="262" t="s">
        <v>36</v>
      </c>
      <c r="B17" s="33">
        <v>149.89693883000001</v>
      </c>
      <c r="C17" s="33">
        <v>61.138228030000001</v>
      </c>
      <c r="D17" s="33">
        <v>88.758710800000017</v>
      </c>
      <c r="E17" s="33">
        <v>67.182717749999995</v>
      </c>
      <c r="F17" s="33">
        <v>19.799829149999997</v>
      </c>
      <c r="G17" s="33">
        <v>1.7761639</v>
      </c>
      <c r="H17" s="33">
        <f>'Приложение № 1.1'!X18</f>
        <v>171.44902296000001</v>
      </c>
      <c r="I17" s="33">
        <f>'Приложение № 1.1'!Y18</f>
        <v>77.852142959999995</v>
      </c>
      <c r="J17" s="33">
        <f>'Приложение № 1.1'!Z18</f>
        <v>93.596879999999999</v>
      </c>
      <c r="K17" s="33">
        <f>'Приложение № 1.1'!AA18</f>
        <v>69.394746670000004</v>
      </c>
      <c r="L17" s="33">
        <f>'Приложение № 1.1'!AB18</f>
        <v>22.912100450000001</v>
      </c>
      <c r="M17" s="33">
        <f>'Приложение № 1.1'!AC18</f>
        <v>1.29003288</v>
      </c>
      <c r="N17" s="33">
        <f t="shared" si="1"/>
        <v>21.552084129999997</v>
      </c>
      <c r="O17" s="33">
        <f t="shared" si="0"/>
        <v>16.713914929999994</v>
      </c>
      <c r="P17" s="33">
        <f t="shared" si="0"/>
        <v>4.8381691999999816</v>
      </c>
      <c r="Q17" s="33">
        <f t="shared" si="0"/>
        <v>2.2120289200000087</v>
      </c>
      <c r="R17" s="33">
        <f t="shared" si="0"/>
        <v>3.1122713000000033</v>
      </c>
      <c r="S17" s="35">
        <f t="shared" si="0"/>
        <v>-0.48613101999999997</v>
      </c>
    </row>
    <row r="18" spans="1:22" ht="26.4" x14ac:dyDescent="0.3">
      <c r="A18" s="262" t="s">
        <v>37</v>
      </c>
      <c r="B18" s="33">
        <v>3.0367439999999999E-2</v>
      </c>
      <c r="C18" s="33">
        <v>2.04265E-2</v>
      </c>
      <c r="D18" s="33">
        <v>9.9409400000000005E-3</v>
      </c>
      <c r="E18" s="33">
        <v>-1.1597139999999999E-2</v>
      </c>
      <c r="F18" s="33">
        <v>1.323087E-2</v>
      </c>
      <c r="G18" s="33">
        <v>8.3072099999999989E-3</v>
      </c>
      <c r="H18" s="33">
        <f>'Приложение № 1.1'!X19</f>
        <v>4.3565839999999995E-2</v>
      </c>
      <c r="I18" s="33">
        <f>'Приложение № 1.1'!Y19</f>
        <v>1.760569E-2</v>
      </c>
      <c r="J18" s="33">
        <f>'Приложение № 1.1'!Z19</f>
        <v>2.5960150000000001E-2</v>
      </c>
      <c r="K18" s="33">
        <f>'Приложение № 1.1'!AA19</f>
        <v>2.188147E-2</v>
      </c>
      <c r="L18" s="33">
        <f>'Приложение № 1.1'!AB19</f>
        <v>1.03506E-3</v>
      </c>
      <c r="M18" s="33">
        <f>'Приложение № 1.1'!AC19</f>
        <v>3.0436199999999999E-3</v>
      </c>
      <c r="N18" s="33">
        <f t="shared" si="1"/>
        <v>1.3198399999999996E-2</v>
      </c>
      <c r="O18" s="33">
        <f t="shared" si="0"/>
        <v>-2.82081E-3</v>
      </c>
      <c r="P18" s="33">
        <f t="shared" si="0"/>
        <v>1.6019209999999999E-2</v>
      </c>
      <c r="Q18" s="33">
        <f t="shared" si="0"/>
        <v>3.3478609999999999E-2</v>
      </c>
      <c r="R18" s="33">
        <f t="shared" si="0"/>
        <v>-1.2195810000000001E-2</v>
      </c>
      <c r="S18" s="35">
        <f t="shared" si="0"/>
        <v>-5.2635899999999985E-3</v>
      </c>
    </row>
    <row r="19" spans="1:22" x14ac:dyDescent="0.3">
      <c r="A19" s="262" t="s">
        <v>38</v>
      </c>
      <c r="B19" s="33">
        <v>570.53614694000009</v>
      </c>
      <c r="C19" s="33">
        <v>19.30458848</v>
      </c>
      <c r="D19" s="33">
        <v>551.23155846000009</v>
      </c>
      <c r="E19" s="33">
        <v>395.31769035000002</v>
      </c>
      <c r="F19" s="33">
        <v>75.784513290000007</v>
      </c>
      <c r="G19" s="33">
        <v>80.129354819999989</v>
      </c>
      <c r="H19" s="33">
        <f>'Приложение № 1.1'!X20</f>
        <v>483.70307961000003</v>
      </c>
      <c r="I19" s="33">
        <f>'Приложение № 1.1'!Y20</f>
        <v>13.719748460000002</v>
      </c>
      <c r="J19" s="33">
        <f>'Приложение № 1.1'!Z20</f>
        <v>469.98333115000003</v>
      </c>
      <c r="K19" s="33">
        <f>'Приложение № 1.1'!AA20</f>
        <v>335.19291930000003</v>
      </c>
      <c r="L19" s="33">
        <f>'Приложение № 1.1'!AB20</f>
        <v>66.667357129999999</v>
      </c>
      <c r="M19" s="33">
        <f>'Приложение № 1.1'!AC20</f>
        <v>68.123054719999999</v>
      </c>
      <c r="N19" s="33">
        <f t="shared" si="1"/>
        <v>-86.833067330000063</v>
      </c>
      <c r="O19" s="33">
        <f t="shared" si="0"/>
        <v>-5.5848400199999979</v>
      </c>
      <c r="P19" s="33">
        <f t="shared" si="0"/>
        <v>-81.248227310000061</v>
      </c>
      <c r="Q19" s="33">
        <f t="shared" si="0"/>
        <v>-60.124771049999993</v>
      </c>
      <c r="R19" s="33">
        <f t="shared" si="0"/>
        <v>-9.1171561600000075</v>
      </c>
      <c r="S19" s="35">
        <f t="shared" si="0"/>
        <v>-12.00630009999999</v>
      </c>
      <c r="T19" s="264"/>
    </row>
    <row r="20" spans="1:22" x14ac:dyDescent="0.3">
      <c r="A20" s="262" t="s">
        <v>39</v>
      </c>
      <c r="B20" s="33">
        <v>281.94602508999998</v>
      </c>
      <c r="C20" s="33">
        <v>218.54190549</v>
      </c>
      <c r="D20" s="33">
        <v>63.404119599999994</v>
      </c>
      <c r="E20" s="33">
        <v>42.336846689999994</v>
      </c>
      <c r="F20" s="33">
        <v>21.06727291</v>
      </c>
      <c r="G20" s="33">
        <v>0</v>
      </c>
      <c r="H20" s="33">
        <f>'Приложение № 1.1'!X21</f>
        <v>433.34262481000002</v>
      </c>
      <c r="I20" s="33">
        <f>'Приложение № 1.1'!Y21</f>
        <v>314.32115469999997</v>
      </c>
      <c r="J20" s="33">
        <f>'Приложение № 1.1'!Z21</f>
        <v>119.02147011</v>
      </c>
      <c r="K20" s="33">
        <f>'Приложение № 1.1'!AA21</f>
        <v>85.734290999999999</v>
      </c>
      <c r="L20" s="33">
        <f>'Приложение № 1.1'!AB21</f>
        <v>33.287179109999997</v>
      </c>
      <c r="M20" s="33">
        <f>'Приложение № 1.1'!AC21</f>
        <v>0</v>
      </c>
      <c r="N20" s="33">
        <f t="shared" si="1"/>
        <v>151.39659972000004</v>
      </c>
      <c r="O20" s="33">
        <f t="shared" si="0"/>
        <v>95.779249209999961</v>
      </c>
      <c r="P20" s="33">
        <f t="shared" si="0"/>
        <v>55.617350510000001</v>
      </c>
      <c r="Q20" s="33">
        <f t="shared" si="0"/>
        <v>43.397444310000004</v>
      </c>
      <c r="R20" s="33">
        <f t="shared" si="0"/>
        <v>12.219906199999997</v>
      </c>
      <c r="S20" s="35">
        <f t="shared" si="0"/>
        <v>0</v>
      </c>
      <c r="T20" s="264"/>
    </row>
    <row r="21" spans="1:22" s="265" customFormat="1" ht="26.4" x14ac:dyDescent="0.3">
      <c r="A21" s="262" t="s">
        <v>40</v>
      </c>
      <c r="B21" s="33">
        <v>84.846692900000008</v>
      </c>
      <c r="C21" s="33">
        <v>24.982369219999999</v>
      </c>
      <c r="D21" s="33">
        <v>59.864323679999991</v>
      </c>
      <c r="E21" s="33">
        <v>35.585279119999996</v>
      </c>
      <c r="F21" s="33">
        <v>3.9222045800000003</v>
      </c>
      <c r="G21" s="33">
        <v>20.35683998</v>
      </c>
      <c r="H21" s="33">
        <f>'Приложение № 1.1'!X22</f>
        <v>111.49108104999999</v>
      </c>
      <c r="I21" s="33">
        <f>'Приложение № 1.1'!Y22</f>
        <v>42.3955056</v>
      </c>
      <c r="J21" s="33">
        <f>'Приложение № 1.1'!Z22</f>
        <v>69.095575449999998</v>
      </c>
      <c r="K21" s="33">
        <f>'Приложение № 1.1'!AA22</f>
        <v>44.929025189999997</v>
      </c>
      <c r="L21" s="33">
        <f>'Приложение № 1.1'!AB22</f>
        <v>5.1140206699999995</v>
      </c>
      <c r="M21" s="33">
        <f>'Приложение № 1.1'!AC22</f>
        <v>19.052529589999999</v>
      </c>
      <c r="N21" s="33">
        <f t="shared" si="1"/>
        <v>26.644388149999983</v>
      </c>
      <c r="O21" s="33">
        <f t="shared" si="0"/>
        <v>17.413136380000001</v>
      </c>
      <c r="P21" s="33">
        <f t="shared" si="0"/>
        <v>9.2312517700000072</v>
      </c>
      <c r="Q21" s="33">
        <f t="shared" si="0"/>
        <v>9.3437460700000017</v>
      </c>
      <c r="R21" s="33">
        <f t="shared" si="0"/>
        <v>1.1918160899999992</v>
      </c>
      <c r="S21" s="35">
        <f t="shared" si="0"/>
        <v>-1.3043103900000013</v>
      </c>
      <c r="T21" s="264"/>
      <c r="U21" s="3"/>
      <c r="V21" s="3"/>
    </row>
    <row r="22" spans="1:22" x14ac:dyDescent="0.3">
      <c r="A22" s="262" t="s">
        <v>41</v>
      </c>
      <c r="B22" s="33">
        <v>444.74099348999999</v>
      </c>
      <c r="C22" s="33">
        <v>0.76533799999999996</v>
      </c>
      <c r="D22" s="33">
        <v>443.97565549000001</v>
      </c>
      <c r="E22" s="33">
        <v>359.62116787000002</v>
      </c>
      <c r="F22" s="33">
        <v>56.717437259999997</v>
      </c>
      <c r="G22" s="33">
        <v>27.63705036</v>
      </c>
      <c r="H22" s="33">
        <f>'Приложение № 1.1'!X23</f>
        <v>342.66394613</v>
      </c>
      <c r="I22" s="33">
        <f>'Приложение № 1.1'!Y23</f>
        <v>0.51359703999999995</v>
      </c>
      <c r="J22" s="33">
        <f>'Приложение № 1.1'!Z23</f>
        <v>342.15034908999996</v>
      </c>
      <c r="K22" s="33">
        <f>'Приложение № 1.1'!AA23</f>
        <v>293.3119992</v>
      </c>
      <c r="L22" s="33">
        <f>'Приложение № 1.1'!AB23</f>
        <v>34.194016070000004</v>
      </c>
      <c r="M22" s="33">
        <f>'Приложение № 1.1'!AC23</f>
        <v>14.64433382</v>
      </c>
      <c r="N22" s="33">
        <f t="shared" si="1"/>
        <v>-102.07704735999999</v>
      </c>
      <c r="O22" s="33">
        <f t="shared" si="0"/>
        <v>-0.25174096000000001</v>
      </c>
      <c r="P22" s="33">
        <f t="shared" si="0"/>
        <v>-101.82530640000004</v>
      </c>
      <c r="Q22" s="33">
        <f t="shared" si="0"/>
        <v>-66.30916867000002</v>
      </c>
      <c r="R22" s="33">
        <f t="shared" si="0"/>
        <v>-22.523421189999993</v>
      </c>
      <c r="S22" s="35">
        <f t="shared" si="0"/>
        <v>-12.99271654</v>
      </c>
      <c r="T22" s="264"/>
    </row>
    <row r="23" spans="1:22" x14ac:dyDescent="0.3">
      <c r="A23" s="262" t="s">
        <v>42</v>
      </c>
      <c r="B23" s="33">
        <v>0.59486844999999999</v>
      </c>
      <c r="C23" s="33">
        <v>0.51616313999999996</v>
      </c>
      <c r="D23" s="33">
        <v>7.8705310000000001E-2</v>
      </c>
      <c r="E23" s="33">
        <v>0</v>
      </c>
      <c r="F23" s="33">
        <v>0</v>
      </c>
      <c r="G23" s="33">
        <v>7.8705310000000001E-2</v>
      </c>
      <c r="H23" s="33">
        <f>'Приложение № 1.1'!X24</f>
        <v>0.42702646</v>
      </c>
      <c r="I23" s="33">
        <f>'Приложение № 1.1'!Y24</f>
        <v>0.3770984</v>
      </c>
      <c r="J23" s="33">
        <f>'Приложение № 1.1'!Z24</f>
        <v>4.9928059999999996E-2</v>
      </c>
      <c r="K23" s="33">
        <f>'Приложение № 1.1'!AA24</f>
        <v>0</v>
      </c>
      <c r="L23" s="33">
        <f>'Приложение № 1.1'!AB24</f>
        <v>0</v>
      </c>
      <c r="M23" s="33">
        <f>'Приложение № 1.1'!AC24</f>
        <v>4.9928059999999996E-2</v>
      </c>
      <c r="N23" s="33">
        <f t="shared" si="1"/>
        <v>-0.16784199</v>
      </c>
      <c r="O23" s="33">
        <f t="shared" si="0"/>
        <v>-0.13906473999999996</v>
      </c>
      <c r="P23" s="33">
        <f t="shared" si="0"/>
        <v>-2.8777250000000004E-2</v>
      </c>
      <c r="Q23" s="33">
        <f t="shared" si="0"/>
        <v>0</v>
      </c>
      <c r="R23" s="33">
        <f t="shared" si="0"/>
        <v>0</v>
      </c>
      <c r="S23" s="35">
        <f t="shared" si="0"/>
        <v>-2.8777250000000004E-2</v>
      </c>
      <c r="T23" s="264"/>
    </row>
    <row r="24" spans="1:22" x14ac:dyDescent="0.3">
      <c r="A24" s="262" t="s">
        <v>43</v>
      </c>
      <c r="B24" s="33">
        <v>309.08214425</v>
      </c>
      <c r="C24" s="33">
        <v>224.63762919999999</v>
      </c>
      <c r="D24" s="33">
        <v>84.444515049999993</v>
      </c>
      <c r="E24" s="33">
        <v>63.933106659999993</v>
      </c>
      <c r="F24" s="33">
        <v>18.33106897</v>
      </c>
      <c r="G24" s="33">
        <v>2.1803394200000001</v>
      </c>
      <c r="H24" s="33">
        <f>'Приложение № 1.1'!X25</f>
        <v>272.64983311999998</v>
      </c>
      <c r="I24" s="33">
        <f>'Приложение № 1.1'!Y25</f>
        <v>182.44397307</v>
      </c>
      <c r="J24" s="33">
        <f>'Приложение № 1.1'!Z25</f>
        <v>90.205860050000013</v>
      </c>
      <c r="K24" s="33">
        <f>'Приложение № 1.1'!AA25</f>
        <v>65.797120210000003</v>
      </c>
      <c r="L24" s="33">
        <f>'Приложение № 1.1'!AB25</f>
        <v>20.633230000000001</v>
      </c>
      <c r="M24" s="33">
        <f>'Приложение № 1.1'!AC25</f>
        <v>3.7755098400000002</v>
      </c>
      <c r="N24" s="33">
        <f t="shared" si="1"/>
        <v>-36.432311130000016</v>
      </c>
      <c r="O24" s="33">
        <f t="shared" si="0"/>
        <v>-42.193656129999994</v>
      </c>
      <c r="P24" s="33">
        <f t="shared" si="0"/>
        <v>5.7613450000000199</v>
      </c>
      <c r="Q24" s="33">
        <f t="shared" si="0"/>
        <v>1.8640135500000099</v>
      </c>
      <c r="R24" s="33">
        <f t="shared" si="0"/>
        <v>2.3021610300000006</v>
      </c>
      <c r="S24" s="35">
        <f t="shared" si="0"/>
        <v>1.5951704200000001</v>
      </c>
      <c r="T24" s="264"/>
    </row>
    <row r="25" spans="1:22" x14ac:dyDescent="0.3">
      <c r="A25" s="262" t="s">
        <v>44</v>
      </c>
      <c r="B25" s="33">
        <v>6.0135627000000005</v>
      </c>
      <c r="C25" s="33">
        <v>0.44096997999999998</v>
      </c>
      <c r="D25" s="33">
        <v>5.5725927199999994</v>
      </c>
      <c r="E25" s="33">
        <v>2.3222566499999999</v>
      </c>
      <c r="F25" s="33">
        <v>-3.5681789999999998E-2</v>
      </c>
      <c r="G25" s="33">
        <v>3.2860178599999998</v>
      </c>
      <c r="H25" s="33">
        <f>'Приложение № 1.1'!X26</f>
        <v>16.0985336</v>
      </c>
      <c r="I25" s="33">
        <f>'Приложение № 1.1'!Y26</f>
        <v>-0.36091279999999998</v>
      </c>
      <c r="J25" s="33">
        <f>'Приложение № 1.1'!Z26</f>
        <v>16.4551458</v>
      </c>
      <c r="K25" s="33">
        <f>'Приложение № 1.1'!AA26</f>
        <v>12.767293349999999</v>
      </c>
      <c r="L25" s="33">
        <f>'Приложение № 1.1'!AB26</f>
        <v>5.311718E-2</v>
      </c>
      <c r="M25" s="33">
        <f>'Приложение № 1.1'!AC26</f>
        <v>3.6347352700000002</v>
      </c>
      <c r="N25" s="33">
        <f t="shared" si="1"/>
        <v>10.084970899999998</v>
      </c>
      <c r="O25" s="33">
        <f t="shared" si="0"/>
        <v>-0.80188277999999991</v>
      </c>
      <c r="P25" s="33">
        <f t="shared" si="0"/>
        <v>10.882553080000001</v>
      </c>
      <c r="Q25" s="33">
        <f t="shared" si="0"/>
        <v>10.445036699999999</v>
      </c>
      <c r="R25" s="33">
        <f t="shared" si="0"/>
        <v>8.8798970000000005E-2</v>
      </c>
      <c r="S25" s="35">
        <f t="shared" si="0"/>
        <v>0.34871741000000034</v>
      </c>
      <c r="T25" s="4"/>
      <c r="U25" s="4"/>
      <c r="V25" s="264"/>
    </row>
    <row r="26" spans="1:22" x14ac:dyDescent="0.3">
      <c r="A26" s="37" t="s">
        <v>47</v>
      </c>
      <c r="B26" s="40">
        <v>9521.582792610001</v>
      </c>
      <c r="C26" s="40">
        <v>9761.0656128499995</v>
      </c>
      <c r="D26" s="40">
        <v>9781.5417617299991</v>
      </c>
      <c r="E26" s="40">
        <v>4062.4453396599997</v>
      </c>
      <c r="F26" s="40">
        <v>5776.7826279199999</v>
      </c>
      <c r="G26" s="40">
        <v>830.77787343</v>
      </c>
      <c r="H26" s="40">
        <f>'Приложение № 1.1'!X29</f>
        <v>7807.7490630600005</v>
      </c>
      <c r="I26" s="40">
        <f>'Приложение № 1.1'!Y29</f>
        <v>8690.7656929900004</v>
      </c>
      <c r="J26" s="40">
        <f>'Приложение № 1.1'!Z29</f>
        <v>9390.3442888599984</v>
      </c>
      <c r="K26" s="40">
        <f>'Приложение № 1.1'!AA29</f>
        <v>4397.1473914099997</v>
      </c>
      <c r="L26" s="40">
        <f>'Приложение № 1.1'!AB29</f>
        <v>5585.6905943700003</v>
      </c>
      <c r="M26" s="40">
        <f>'Приложение № 1.1'!AC29</f>
        <v>46.102934840000003</v>
      </c>
      <c r="N26" s="40">
        <f t="shared" si="1"/>
        <v>-1713.8337295500005</v>
      </c>
      <c r="O26" s="40">
        <f t="shared" si="1"/>
        <v>-1070.2999198599991</v>
      </c>
      <c r="P26" s="40">
        <f t="shared" si="1"/>
        <v>-391.19747287000064</v>
      </c>
      <c r="Q26" s="40">
        <f t="shared" si="1"/>
        <v>334.70205175000001</v>
      </c>
      <c r="R26" s="40">
        <f t="shared" si="1"/>
        <v>-191.09203354999954</v>
      </c>
      <c r="S26" s="41">
        <f t="shared" si="1"/>
        <v>-784.67493859000001</v>
      </c>
    </row>
    <row r="27" spans="1:22" s="265" customFormat="1" x14ac:dyDescent="0.3">
      <c r="A27" s="262" t="s">
        <v>273</v>
      </c>
      <c r="B27" s="33">
        <v>9341.4365763799997</v>
      </c>
      <c r="C27" s="33">
        <v>9341.4365763799997</v>
      </c>
      <c r="D27" s="33">
        <v>10021.024581970001</v>
      </c>
      <c r="E27" s="33">
        <v>4289.7215299</v>
      </c>
      <c r="F27" s="33">
        <v>5779.6723076999997</v>
      </c>
      <c r="G27" s="33">
        <v>840.09482364999997</v>
      </c>
      <c r="H27" s="33">
        <f>'Приложение № 1.1'!X30</f>
        <v>6882.90722327</v>
      </c>
      <c r="I27" s="33">
        <f>'Приложение № 1.1'!Y30</f>
        <v>6882.90722327</v>
      </c>
      <c r="J27" s="33">
        <f>'Приложение № 1.1'!Z30</f>
        <v>10273.250194960001</v>
      </c>
      <c r="K27" s="33">
        <f>'Приложение № 1.1'!AA30</f>
        <v>4628.3228082299993</v>
      </c>
      <c r="L27" s="33">
        <f>'Приложение № 1.1'!AB30</f>
        <v>5695.9924927600005</v>
      </c>
      <c r="M27" s="33">
        <f>'Приложение № 1.1'!AC30</f>
        <v>587.53152573</v>
      </c>
      <c r="N27" s="33">
        <f t="shared" si="1"/>
        <v>-2458.5293531099996</v>
      </c>
      <c r="O27" s="33">
        <f t="shared" si="1"/>
        <v>-2458.5293531099996</v>
      </c>
      <c r="P27" s="33">
        <f>+J27-D27</f>
        <v>252.22561298999972</v>
      </c>
      <c r="Q27" s="33">
        <f t="shared" si="1"/>
        <v>338.60127832999933</v>
      </c>
      <c r="R27" s="33">
        <f t="shared" si="1"/>
        <v>-83.679814939999233</v>
      </c>
      <c r="S27" s="35">
        <f t="shared" si="1"/>
        <v>-252.56329791999997</v>
      </c>
      <c r="U27" s="44"/>
      <c r="V27" s="44"/>
    </row>
    <row r="28" spans="1:22" s="265" customFormat="1" ht="26.4" x14ac:dyDescent="0.3">
      <c r="A28" s="262" t="s">
        <v>49</v>
      </c>
      <c r="B28" s="33">
        <v>351.63141431000003</v>
      </c>
      <c r="C28" s="33">
        <v>351.63141431000003</v>
      </c>
      <c r="D28" s="33">
        <v>0</v>
      </c>
      <c r="E28" s="33">
        <v>0</v>
      </c>
      <c r="F28" s="33">
        <v>0</v>
      </c>
      <c r="G28" s="33">
        <v>0</v>
      </c>
      <c r="H28" s="33">
        <f>'Приложение № 1.1'!X31</f>
        <v>909.53900357000009</v>
      </c>
      <c r="I28" s="33">
        <f>'Приложение № 1.1'!Y31</f>
        <v>909.5283735700001</v>
      </c>
      <c r="J28" s="33">
        <f>'Приложение № 1.1'!Z31</f>
        <v>1.0630000000000001E-2</v>
      </c>
      <c r="K28" s="33">
        <f>'Приложение № 1.1'!AA31</f>
        <v>0</v>
      </c>
      <c r="L28" s="33">
        <f>'Приложение № 1.1'!AB31</f>
        <v>0</v>
      </c>
      <c r="M28" s="33">
        <f>'Приложение № 1.1'!AC31</f>
        <v>1.0630000000000001E-2</v>
      </c>
      <c r="N28" s="33">
        <f t="shared" si="1"/>
        <v>557.90758926000012</v>
      </c>
      <c r="O28" s="33">
        <f t="shared" si="1"/>
        <v>557.89695926000013</v>
      </c>
      <c r="P28" s="33">
        <f t="shared" si="1"/>
        <v>1.0630000000000001E-2</v>
      </c>
      <c r="Q28" s="33">
        <f t="shared" si="1"/>
        <v>0</v>
      </c>
      <c r="R28" s="33">
        <f t="shared" si="1"/>
        <v>0</v>
      </c>
      <c r="S28" s="35">
        <f t="shared" si="1"/>
        <v>1.0630000000000001E-2</v>
      </c>
      <c r="U28" s="44"/>
      <c r="V28" s="44"/>
    </row>
    <row r="29" spans="1:22" s="263" customFormat="1" ht="26.4" x14ac:dyDescent="0.3">
      <c r="A29" s="262" t="s">
        <v>50</v>
      </c>
      <c r="B29" s="266">
        <v>0.57984899999999995</v>
      </c>
      <c r="C29" s="266">
        <v>0</v>
      </c>
      <c r="D29" s="266">
        <v>0.57984899999999995</v>
      </c>
      <c r="E29" s="266">
        <v>0</v>
      </c>
      <c r="F29" s="266">
        <v>0.57584900000000006</v>
      </c>
      <c r="G29" s="266">
        <v>4.0000000000000001E-3</v>
      </c>
      <c r="H29" s="33">
        <f>'Приложение № 1.1'!X32</f>
        <v>1.641078</v>
      </c>
      <c r="I29" s="33">
        <f>'Приложение № 1.1'!Y32</f>
        <v>0</v>
      </c>
      <c r="J29" s="33">
        <f>'Приложение № 1.1'!Z32</f>
        <v>1.641078</v>
      </c>
      <c r="K29" s="33">
        <f>'Приложение № 1.1'!AA32</f>
        <v>0</v>
      </c>
      <c r="L29" s="33">
        <f>'Приложение № 1.1'!AB32</f>
        <v>1.641078</v>
      </c>
      <c r="M29" s="33">
        <f>'Приложение № 1.1'!AC32</f>
        <v>0</v>
      </c>
      <c r="N29" s="33">
        <f t="shared" si="1"/>
        <v>1.061229</v>
      </c>
      <c r="O29" s="33">
        <f t="shared" si="1"/>
        <v>0</v>
      </c>
      <c r="P29" s="33">
        <f t="shared" si="1"/>
        <v>1.061229</v>
      </c>
      <c r="Q29" s="33">
        <f t="shared" si="1"/>
        <v>0</v>
      </c>
      <c r="R29" s="33">
        <f t="shared" si="1"/>
        <v>1.065229</v>
      </c>
      <c r="S29" s="35">
        <f t="shared" si="1"/>
        <v>-4.0000000000000001E-3</v>
      </c>
      <c r="U29" s="3"/>
      <c r="V29" s="3"/>
    </row>
    <row r="30" spans="1:22" x14ac:dyDescent="0.3">
      <c r="A30" s="262" t="s">
        <v>51</v>
      </c>
      <c r="B30" s="33">
        <v>13.1502701</v>
      </c>
      <c r="C30" s="33">
        <v>4.1468503999999999</v>
      </c>
      <c r="D30" s="33">
        <v>9.0034196999999985</v>
      </c>
      <c r="E30" s="33">
        <v>0.86</v>
      </c>
      <c r="F30" s="33">
        <v>6.0590735000000002</v>
      </c>
      <c r="G30" s="33">
        <v>2.0843462000000001</v>
      </c>
      <c r="H30" s="33">
        <f>'Приложение № 1.1'!X33</f>
        <v>45.209572039999998</v>
      </c>
      <c r="I30" s="33">
        <f>'Приложение № 1.1'!Y33</f>
        <v>28.345137920000003</v>
      </c>
      <c r="J30" s="33">
        <f>'Приложение № 1.1'!Z33</f>
        <v>16.864434120000002</v>
      </c>
      <c r="K30" s="33">
        <f>'Приложение № 1.1'!AA33</f>
        <v>6.0995854000000005</v>
      </c>
      <c r="L30" s="33">
        <f>'Приложение № 1.1'!AB33</f>
        <v>8.45582733</v>
      </c>
      <c r="M30" s="33">
        <f>'Приложение № 1.1'!AC33</f>
        <v>2.3090213900000003</v>
      </c>
      <c r="N30" s="33">
        <f t="shared" si="1"/>
        <v>32.059301939999997</v>
      </c>
      <c r="O30" s="33">
        <f t="shared" si="1"/>
        <v>24.198287520000001</v>
      </c>
      <c r="P30" s="33">
        <f t="shared" si="1"/>
        <v>7.8610144200000036</v>
      </c>
      <c r="Q30" s="33">
        <f t="shared" si="1"/>
        <v>5.2395854000000002</v>
      </c>
      <c r="R30" s="33">
        <f t="shared" si="1"/>
        <v>2.3967538299999998</v>
      </c>
      <c r="S30" s="35">
        <f t="shared" si="1"/>
        <v>0.22467519000000014</v>
      </c>
    </row>
    <row r="31" spans="1:22" ht="13.2" customHeight="1" x14ac:dyDescent="0.3">
      <c r="A31" s="262" t="s">
        <v>231</v>
      </c>
      <c r="B31" s="33">
        <v>17.635919749999999</v>
      </c>
      <c r="C31" s="33">
        <v>266.70200869000001</v>
      </c>
      <c r="D31" s="33">
        <v>3.9321726200000011</v>
      </c>
      <c r="E31" s="33">
        <v>3.1400043199999996</v>
      </c>
      <c r="F31" s="33">
        <v>12.197464720000001</v>
      </c>
      <c r="G31" s="33">
        <v>0.42039831999999999</v>
      </c>
      <c r="H31" s="33">
        <f>'Приложение № 1.1'!X35</f>
        <v>30.590696620000003</v>
      </c>
      <c r="I31" s="33">
        <f>'Приложение № 1.1'!Y35</f>
        <v>932.12346866999997</v>
      </c>
      <c r="J31" s="33">
        <f>'Приложение № 1.1'!Z35</f>
        <v>19.688420420000046</v>
      </c>
      <c r="K31" s="33">
        <f>'Приложение № 1.1'!AA35</f>
        <v>2.33152348</v>
      </c>
      <c r="L31" s="33">
        <f>'Приложение № 1.1'!AB35</f>
        <v>561.10513922000007</v>
      </c>
      <c r="M31" s="33">
        <f>'Приложение № 1.1'!AC35</f>
        <v>16.92090966</v>
      </c>
      <c r="N31" s="33">
        <f t="shared" si="1"/>
        <v>12.954776870000003</v>
      </c>
      <c r="O31" s="33">
        <f t="shared" si="1"/>
        <v>665.42145998000001</v>
      </c>
      <c r="P31" s="33">
        <f t="shared" si="1"/>
        <v>15.756247800000045</v>
      </c>
      <c r="Q31" s="33">
        <f t="shared" si="1"/>
        <v>-0.80848083999999965</v>
      </c>
      <c r="R31" s="33">
        <f t="shared" si="1"/>
        <v>548.9076745000001</v>
      </c>
      <c r="S31" s="35">
        <f t="shared" si="1"/>
        <v>16.500511339999999</v>
      </c>
      <c r="U31" s="267"/>
      <c r="V31" s="267"/>
    </row>
    <row r="32" spans="1:22" s="268" customFormat="1" ht="13.8" x14ac:dyDescent="0.3">
      <c r="A32" s="262" t="s">
        <v>232</v>
      </c>
      <c r="B32" s="33">
        <v>-202.85123693</v>
      </c>
      <c r="C32" s="33">
        <v>-202.85123693</v>
      </c>
      <c r="D32" s="33">
        <v>-252.99826156</v>
      </c>
      <c r="E32" s="33">
        <v>-231.27619455999999</v>
      </c>
      <c r="F32" s="33">
        <v>-21.722066999999999</v>
      </c>
      <c r="G32" s="33">
        <v>-11.825694739999999</v>
      </c>
      <c r="H32" s="33">
        <f>'Приложение № 1.1'!X36</f>
        <v>-62.138510439999997</v>
      </c>
      <c r="I32" s="33">
        <f>'Приложение № 1.1'!Y36</f>
        <v>-62.138510439999997</v>
      </c>
      <c r="J32" s="33">
        <f>'Приложение № 1.1'!Z36</f>
        <v>-921.11046864000014</v>
      </c>
      <c r="K32" s="33">
        <f>'Приложение № 1.1'!AA36</f>
        <v>-239.60652569999999</v>
      </c>
      <c r="L32" s="33">
        <f>'Приложение № 1.1'!AB36</f>
        <v>-681.50394294</v>
      </c>
      <c r="M32" s="33">
        <f>'Приложение № 1.1'!AC36</f>
        <v>-560.66915193999989</v>
      </c>
      <c r="N32" s="33">
        <f t="shared" si="1"/>
        <v>140.71272648999999</v>
      </c>
      <c r="O32" s="33">
        <f t="shared" si="1"/>
        <v>140.71272648999999</v>
      </c>
      <c r="P32" s="33">
        <f t="shared" si="1"/>
        <v>-668.11220708000019</v>
      </c>
      <c r="Q32" s="33">
        <f t="shared" si="1"/>
        <v>-8.3303311399999984</v>
      </c>
      <c r="R32" s="33">
        <f t="shared" si="1"/>
        <v>-659.78187593999996</v>
      </c>
      <c r="S32" s="35">
        <f t="shared" si="1"/>
        <v>-548.84345719999988</v>
      </c>
      <c r="U32" s="3"/>
      <c r="V32" s="3"/>
    </row>
    <row r="33" spans="1:19" ht="14.4" customHeight="1" thickBot="1" x14ac:dyDescent="0.35">
      <c r="A33" s="272" t="s">
        <v>53</v>
      </c>
      <c r="B33" s="273">
        <v>37240.45321122001</v>
      </c>
      <c r="C33" s="273">
        <v>31572.20502664</v>
      </c>
      <c r="D33" s="273">
        <v>15689.272766550001</v>
      </c>
      <c r="E33" s="273">
        <v>8393.5602049499994</v>
      </c>
      <c r="F33" s="273">
        <v>6796.6127596100005</v>
      </c>
      <c r="G33" s="273">
        <v>1387.5638812699999</v>
      </c>
      <c r="H33" s="273">
        <f>'Приложение № 1.1'!X37</f>
        <v>35046.007078519993</v>
      </c>
      <c r="I33" s="273">
        <f>'Приложение № 1.1'!Y37</f>
        <v>29959.450461230004</v>
      </c>
      <c r="J33" s="273">
        <f>'Приложение № 1.1'!Z37</f>
        <v>15359.806812250001</v>
      </c>
      <c r="K33" s="273">
        <f>'Приложение № 1.1'!AA37</f>
        <v>8793.6987626000009</v>
      </c>
      <c r="L33" s="273">
        <f>'Приложение № 1.1'!AB37</f>
        <v>6786.2616872200006</v>
      </c>
      <c r="M33" s="273">
        <f>'Приложение № 1.1'!AC37</f>
        <v>418.44299418999992</v>
      </c>
      <c r="N33" s="274">
        <f t="shared" si="1"/>
        <v>-2194.4461327000172</v>
      </c>
      <c r="O33" s="274">
        <f t="shared" si="1"/>
        <v>-1612.7545654099958</v>
      </c>
      <c r="P33" s="274">
        <f t="shared" si="1"/>
        <v>-329.46595429999979</v>
      </c>
      <c r="Q33" s="274">
        <f t="shared" si="1"/>
        <v>400.13855765000153</v>
      </c>
      <c r="R33" s="274">
        <f t="shared" si="1"/>
        <v>-10.351072389999899</v>
      </c>
      <c r="S33" s="275">
        <f t="shared" si="1"/>
        <v>-969.12088707999999</v>
      </c>
    </row>
    <row r="34" spans="1:19" ht="13.8" thickTop="1" x14ac:dyDescent="0.3"/>
  </sheetData>
  <mergeCells count="21">
    <mergeCell ref="J7:J8"/>
    <mergeCell ref="K7:M7"/>
    <mergeCell ref="O7:O8"/>
    <mergeCell ref="P7:P8"/>
    <mergeCell ref="Q7:S7"/>
    <mergeCell ref="Q1:S1"/>
    <mergeCell ref="A3:S3"/>
    <mergeCell ref="A5:A8"/>
    <mergeCell ref="B5:G5"/>
    <mergeCell ref="H5:M5"/>
    <mergeCell ref="N5:S5"/>
    <mergeCell ref="B6:B8"/>
    <mergeCell ref="C6:G6"/>
    <mergeCell ref="H6:H8"/>
    <mergeCell ref="I6:M6"/>
    <mergeCell ref="N6:N8"/>
    <mergeCell ref="O6:S6"/>
    <mergeCell ref="C7:C8"/>
    <mergeCell ref="D7:D8"/>
    <mergeCell ref="E7:G7"/>
    <mergeCell ref="I7:I8"/>
  </mergeCells>
  <printOptions horizontalCentered="1"/>
  <pageMargins left="0" right="0" top="1.1417322834645669" bottom="0.74803149606299213" header="0.70866141732283472" footer="0.31496062992125984"/>
  <pageSetup paperSize="9" scale="71" orientation="landscape" r:id="rId1"/>
  <headerFooter>
    <oddFooter>&amp;CСтраница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115" zoomScaleNormal="115" workbookViewId="0">
      <pane xSplit="1" ySplit="9" topLeftCell="I35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ColWidth="9.109375" defaultRowHeight="13.2" x14ac:dyDescent="0.3"/>
  <cols>
    <col min="1" max="1" width="56.6640625" style="217" customWidth="1"/>
    <col min="2" max="4" width="9.109375" style="243"/>
    <col min="5" max="5" width="8" style="243" customWidth="1"/>
    <col min="6" max="6" width="7.5546875" style="243" customWidth="1"/>
    <col min="7" max="7" width="7.88671875" style="243" customWidth="1"/>
    <col min="8" max="8" width="9.109375" style="243" customWidth="1"/>
    <col min="9" max="9" width="9" style="243" customWidth="1"/>
    <col min="10" max="10" width="9.33203125" style="243" customWidth="1"/>
    <col min="11" max="11" width="8" style="243" customWidth="1"/>
    <col min="12" max="12" width="7.6640625" style="243" customWidth="1"/>
    <col min="13" max="13" width="7.88671875" style="243" customWidth="1"/>
    <col min="14" max="14" width="9.109375" style="243"/>
    <col min="15" max="15" width="8.5546875" style="243" customWidth="1"/>
    <col min="16" max="16" width="9.109375" style="243"/>
    <col min="17" max="17" width="7.109375" style="243" customWidth="1"/>
    <col min="18" max="18" width="6.88671875" style="243" customWidth="1"/>
    <col min="19" max="19" width="7.33203125" style="243" customWidth="1"/>
    <col min="20" max="21" width="0" style="243" hidden="1" customWidth="1"/>
    <col min="22" max="16384" width="9.109375" style="243"/>
  </cols>
  <sheetData>
    <row r="1" spans="1:21" s="217" customFormat="1" x14ac:dyDescent="0.3">
      <c r="P1" s="405" t="s">
        <v>221</v>
      </c>
      <c r="Q1" s="405"/>
      <c r="R1" s="405"/>
      <c r="S1" s="405"/>
    </row>
    <row r="2" spans="1:21" s="217" customFormat="1" ht="15.75" customHeight="1" x14ac:dyDescent="0.3">
      <c r="A2" s="404" t="s">
        <v>270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</row>
    <row r="3" spans="1:21" s="217" customFormat="1" ht="13.8" thickBot="1" x14ac:dyDescent="0.35"/>
    <row r="4" spans="1:21" s="217" customFormat="1" ht="13.5" customHeight="1" thickTop="1" x14ac:dyDescent="0.3">
      <c r="A4" s="392" t="s">
        <v>0</v>
      </c>
      <c r="B4" s="394" t="s">
        <v>223</v>
      </c>
      <c r="C4" s="394"/>
      <c r="D4" s="394"/>
      <c r="E4" s="394"/>
      <c r="F4" s="394"/>
      <c r="G4" s="394"/>
      <c r="H4" s="394" t="s">
        <v>126</v>
      </c>
      <c r="I4" s="394"/>
      <c r="J4" s="394"/>
      <c r="K4" s="394"/>
      <c r="L4" s="394"/>
      <c r="M4" s="394"/>
      <c r="N4" s="394" t="s">
        <v>224</v>
      </c>
      <c r="O4" s="394"/>
      <c r="P4" s="394"/>
      <c r="Q4" s="394"/>
      <c r="R4" s="394"/>
      <c r="S4" s="395"/>
    </row>
    <row r="5" spans="1:21" s="217" customFormat="1" ht="12.75" customHeight="1" x14ac:dyDescent="0.3">
      <c r="A5" s="393"/>
      <c r="B5" s="387" t="s">
        <v>2</v>
      </c>
      <c r="C5" s="396" t="s">
        <v>4</v>
      </c>
      <c r="D5" s="396"/>
      <c r="E5" s="396"/>
      <c r="F5" s="396"/>
      <c r="G5" s="396"/>
      <c r="H5" s="387" t="s">
        <v>2</v>
      </c>
      <c r="I5" s="396" t="s">
        <v>4</v>
      </c>
      <c r="J5" s="396"/>
      <c r="K5" s="396"/>
      <c r="L5" s="396"/>
      <c r="M5" s="396"/>
      <c r="N5" s="387" t="s">
        <v>2</v>
      </c>
      <c r="O5" s="396" t="s">
        <v>4</v>
      </c>
      <c r="P5" s="396"/>
      <c r="Q5" s="396"/>
      <c r="R5" s="396"/>
      <c r="S5" s="397"/>
    </row>
    <row r="6" spans="1:21" s="217" customFormat="1" ht="12.75" customHeight="1" x14ac:dyDescent="0.3">
      <c r="A6" s="393"/>
      <c r="B6" s="387"/>
      <c r="C6" s="387" t="s">
        <v>6</v>
      </c>
      <c r="D6" s="387" t="s">
        <v>7</v>
      </c>
      <c r="E6" s="396" t="s">
        <v>8</v>
      </c>
      <c r="F6" s="396"/>
      <c r="G6" s="396"/>
      <c r="H6" s="387"/>
      <c r="I6" s="387" t="s">
        <v>6</v>
      </c>
      <c r="J6" s="387" t="s">
        <v>7</v>
      </c>
      <c r="K6" s="396" t="s">
        <v>8</v>
      </c>
      <c r="L6" s="396"/>
      <c r="M6" s="396"/>
      <c r="N6" s="387"/>
      <c r="O6" s="385" t="s">
        <v>6</v>
      </c>
      <c r="P6" s="385" t="s">
        <v>7</v>
      </c>
      <c r="Q6" s="402" t="s">
        <v>8</v>
      </c>
      <c r="R6" s="402"/>
      <c r="S6" s="403"/>
    </row>
    <row r="7" spans="1:21" s="217" customFormat="1" ht="54.75" customHeight="1" x14ac:dyDescent="0.3">
      <c r="A7" s="393"/>
      <c r="B7" s="387"/>
      <c r="C7" s="387"/>
      <c r="D7" s="387"/>
      <c r="E7" s="279" t="s">
        <v>9</v>
      </c>
      <c r="F7" s="279" t="s">
        <v>10</v>
      </c>
      <c r="G7" s="279" t="s">
        <v>11</v>
      </c>
      <c r="H7" s="387"/>
      <c r="I7" s="387"/>
      <c r="J7" s="387"/>
      <c r="K7" s="279" t="s">
        <v>9</v>
      </c>
      <c r="L7" s="279" t="s">
        <v>10</v>
      </c>
      <c r="M7" s="279" t="s">
        <v>11</v>
      </c>
      <c r="N7" s="387"/>
      <c r="O7" s="385"/>
      <c r="P7" s="385"/>
      <c r="Q7" s="280" t="s">
        <v>9</v>
      </c>
      <c r="R7" s="280" t="s">
        <v>10</v>
      </c>
      <c r="S7" s="281" t="s">
        <v>12</v>
      </c>
    </row>
    <row r="8" spans="1:21" s="290" customFormat="1" ht="10.199999999999999" x14ac:dyDescent="0.3">
      <c r="A8" s="291" t="s">
        <v>13</v>
      </c>
      <c r="B8" s="294" t="s">
        <v>14</v>
      </c>
      <c r="C8" s="294" t="s">
        <v>15</v>
      </c>
      <c r="D8" s="294" t="s">
        <v>16</v>
      </c>
      <c r="E8" s="295">
        <v>4</v>
      </c>
      <c r="F8" s="295">
        <v>5</v>
      </c>
      <c r="G8" s="295">
        <v>6</v>
      </c>
      <c r="H8" s="294" t="s">
        <v>17</v>
      </c>
      <c r="I8" s="294" t="s">
        <v>18</v>
      </c>
      <c r="J8" s="294" t="s">
        <v>19</v>
      </c>
      <c r="K8" s="295">
        <v>10</v>
      </c>
      <c r="L8" s="295">
        <v>11</v>
      </c>
      <c r="M8" s="295">
        <v>12</v>
      </c>
      <c r="N8" s="294" t="s">
        <v>225</v>
      </c>
      <c r="O8" s="294" t="s">
        <v>226</v>
      </c>
      <c r="P8" s="294" t="s">
        <v>227</v>
      </c>
      <c r="Q8" s="295" t="s">
        <v>228</v>
      </c>
      <c r="R8" s="295" t="s">
        <v>229</v>
      </c>
      <c r="S8" s="296" t="s">
        <v>230</v>
      </c>
    </row>
    <row r="9" spans="1:21" s="217" customFormat="1" x14ac:dyDescent="0.3">
      <c r="A9" s="106" t="s">
        <v>58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8"/>
    </row>
    <row r="10" spans="1:21" s="244" customFormat="1" x14ac:dyDescent="0.3">
      <c r="A10" s="108" t="s">
        <v>60</v>
      </c>
      <c r="B10" s="34">
        <v>2344.3859685000002</v>
      </c>
      <c r="C10" s="34">
        <v>930.86104978999992</v>
      </c>
      <c r="D10" s="34">
        <v>1447.73442768</v>
      </c>
      <c r="E10" s="34">
        <v>635.08956107000006</v>
      </c>
      <c r="F10" s="34">
        <v>493.98300347000003</v>
      </c>
      <c r="G10" s="34">
        <v>349.07692222000003</v>
      </c>
      <c r="H10" s="34">
        <v>2424.0708719499999</v>
      </c>
      <c r="I10" s="34">
        <v>989.37333195000008</v>
      </c>
      <c r="J10" s="34">
        <v>1475.4684168700001</v>
      </c>
      <c r="K10" s="34">
        <v>653.28507735000005</v>
      </c>
      <c r="L10" s="34">
        <v>552.84243094999999</v>
      </c>
      <c r="M10" s="34">
        <v>294.50518329000005</v>
      </c>
      <c r="N10" s="34">
        <f>H10-B10</f>
        <v>79.684903449999638</v>
      </c>
      <c r="O10" s="34">
        <f t="shared" ref="O10:S10" si="0">I10-C10</f>
        <v>58.512282160000154</v>
      </c>
      <c r="P10" s="34">
        <f t="shared" si="0"/>
        <v>27.733989190000102</v>
      </c>
      <c r="Q10" s="34">
        <f t="shared" si="0"/>
        <v>18.195516279999993</v>
      </c>
      <c r="R10" s="34">
        <f t="shared" si="0"/>
        <v>58.859427479999965</v>
      </c>
      <c r="S10" s="50">
        <f t="shared" si="0"/>
        <v>-54.571738929999981</v>
      </c>
      <c r="T10" s="244">
        <f>H10/$H$43%</f>
        <v>6.1028133984595021</v>
      </c>
      <c r="U10" s="244">
        <f>J10/$J$43%</f>
        <v>8.7437433614804174</v>
      </c>
    </row>
    <row r="11" spans="1:21" s="244" customFormat="1" x14ac:dyDescent="0.3">
      <c r="A11" s="108" t="s">
        <v>62</v>
      </c>
      <c r="B11" s="34">
        <v>12.551645300000001</v>
      </c>
      <c r="C11" s="34">
        <v>14.231655</v>
      </c>
      <c r="D11" s="34">
        <v>12.551645299999999</v>
      </c>
      <c r="E11" s="34">
        <v>2.4126359900000001</v>
      </c>
      <c r="F11" s="34">
        <v>11.820122490000001</v>
      </c>
      <c r="G11" s="34">
        <v>10.13300931</v>
      </c>
      <c r="H11" s="34">
        <v>13.04916218</v>
      </c>
      <c r="I11" s="34">
        <v>19.15883612</v>
      </c>
      <c r="J11" s="34">
        <v>13.04916218</v>
      </c>
      <c r="K11" s="34">
        <v>2.5721881899999999</v>
      </c>
      <c r="L11" s="34">
        <v>16.586647929999998</v>
      </c>
      <c r="M11" s="34">
        <v>10.476973989999998</v>
      </c>
      <c r="N11" s="34">
        <f t="shared" ref="N11:N38" si="1">H11-B11</f>
        <v>0.49751687999999916</v>
      </c>
      <c r="O11" s="34">
        <f t="shared" ref="O11:O42" si="2">I11-C11</f>
        <v>4.9271811200000002</v>
      </c>
      <c r="P11" s="34">
        <f t="shared" ref="P11:P38" si="3">J11-D11</f>
        <v>0.49751688000000094</v>
      </c>
      <c r="Q11" s="34">
        <f t="shared" ref="Q11:Q42" si="4">K11-E11</f>
        <v>0.15955219999999981</v>
      </c>
      <c r="R11" s="34">
        <f t="shared" ref="R11:R42" si="5">L11-F11</f>
        <v>4.766525439999997</v>
      </c>
      <c r="S11" s="50">
        <f t="shared" ref="S11:S42" si="6">M11-G11</f>
        <v>0.34396467999999736</v>
      </c>
      <c r="T11" s="244">
        <f t="shared" ref="T11:T43" si="7">H11/$H$43%</f>
        <v>3.2852423050945198E-2</v>
      </c>
      <c r="U11" s="244">
        <f t="shared" ref="U11:U43" si="8">J11/$J$43%</f>
        <v>7.733037446257264E-2</v>
      </c>
    </row>
    <row r="12" spans="1:21" s="244" customFormat="1" ht="26.4" x14ac:dyDescent="0.3">
      <c r="A12" s="108" t="s">
        <v>63</v>
      </c>
      <c r="B12" s="34">
        <v>602.34015876000001</v>
      </c>
      <c r="C12" s="34">
        <v>530.24113969999996</v>
      </c>
      <c r="D12" s="34">
        <v>72.329019059999993</v>
      </c>
      <c r="E12" s="34">
        <v>56.933049359999998</v>
      </c>
      <c r="F12" s="34">
        <v>6.0352178700000003</v>
      </c>
      <c r="G12" s="34">
        <v>11.33735998</v>
      </c>
      <c r="H12" s="34">
        <v>597.90224645000001</v>
      </c>
      <c r="I12" s="34">
        <v>527.71038870999996</v>
      </c>
      <c r="J12" s="34">
        <v>73.440857740000013</v>
      </c>
      <c r="K12" s="34">
        <v>60.088121880000003</v>
      </c>
      <c r="L12" s="34">
        <v>8.28179832</v>
      </c>
      <c r="M12" s="34">
        <v>7.4935259800000003</v>
      </c>
      <c r="N12" s="34">
        <f t="shared" si="1"/>
        <v>-4.4379123100000015</v>
      </c>
      <c r="O12" s="34">
        <f t="shared" si="2"/>
        <v>-2.5307509900000014</v>
      </c>
      <c r="P12" s="34">
        <f t="shared" si="3"/>
        <v>1.1118386800000195</v>
      </c>
      <c r="Q12" s="34">
        <f t="shared" si="4"/>
        <v>3.1550725200000045</v>
      </c>
      <c r="R12" s="34">
        <f t="shared" si="5"/>
        <v>2.2465804499999997</v>
      </c>
      <c r="S12" s="50">
        <f t="shared" si="6"/>
        <v>-3.8438340000000002</v>
      </c>
      <c r="T12" s="244">
        <f t="shared" si="7"/>
        <v>1.5052719302999649</v>
      </c>
      <c r="U12" s="244">
        <f t="shared" si="8"/>
        <v>0.43521637263356683</v>
      </c>
    </row>
    <row r="13" spans="1:21" s="244" customFormat="1" x14ac:dyDescent="0.3">
      <c r="A13" s="108" t="s">
        <v>64</v>
      </c>
      <c r="B13" s="34">
        <v>3762.9962157800001</v>
      </c>
      <c r="C13" s="34">
        <v>3009.1118389099997</v>
      </c>
      <c r="D13" s="34">
        <v>773.17638389000001</v>
      </c>
      <c r="E13" s="34">
        <v>606.84132180999995</v>
      </c>
      <c r="F13" s="34">
        <v>84.634236849999994</v>
      </c>
      <c r="G13" s="34">
        <v>116.61249865000001</v>
      </c>
      <c r="H13" s="34">
        <v>4133.6959031100005</v>
      </c>
      <c r="I13" s="34">
        <v>3443.0857163299997</v>
      </c>
      <c r="J13" s="34">
        <v>769.89370239999994</v>
      </c>
      <c r="K13" s="34">
        <v>614.33385161000001</v>
      </c>
      <c r="L13" s="34">
        <v>117.70293361</v>
      </c>
      <c r="M13" s="34">
        <v>78.782594639999999</v>
      </c>
      <c r="N13" s="34">
        <f t="shared" si="1"/>
        <v>370.69968733000042</v>
      </c>
      <c r="O13" s="34">
        <f t="shared" si="2"/>
        <v>433.97387742000001</v>
      </c>
      <c r="P13" s="34">
        <f t="shared" si="3"/>
        <v>-3.2826814900000727</v>
      </c>
      <c r="Q13" s="34">
        <f t="shared" si="4"/>
        <v>7.4925298000000566</v>
      </c>
      <c r="R13" s="34">
        <f t="shared" si="5"/>
        <v>33.068696760000009</v>
      </c>
      <c r="S13" s="50">
        <f t="shared" si="6"/>
        <v>-37.829904010000007</v>
      </c>
      <c r="T13" s="244">
        <f t="shared" si="7"/>
        <v>10.406946032218654</v>
      </c>
      <c r="U13" s="244">
        <f t="shared" si="8"/>
        <v>4.562451403525162</v>
      </c>
    </row>
    <row r="14" spans="1:21" s="292" customFormat="1" x14ac:dyDescent="0.3">
      <c r="A14" s="112" t="s">
        <v>65</v>
      </c>
      <c r="B14" s="299">
        <v>257.05767335000002</v>
      </c>
      <c r="C14" s="299">
        <v>257.01767335</v>
      </c>
      <c r="D14" s="299">
        <v>0.04</v>
      </c>
      <c r="E14" s="299">
        <v>0</v>
      </c>
      <c r="F14" s="299">
        <v>0</v>
      </c>
      <c r="G14" s="299">
        <v>0.04</v>
      </c>
      <c r="H14" s="299">
        <v>256.03624612999999</v>
      </c>
      <c r="I14" s="299">
        <v>255.97454834000001</v>
      </c>
      <c r="J14" s="299">
        <v>6.1697790000000002E-2</v>
      </c>
      <c r="K14" s="299">
        <v>0</v>
      </c>
      <c r="L14" s="299">
        <v>4.2663E-2</v>
      </c>
      <c r="M14" s="299">
        <v>1.9034789999999999E-2</v>
      </c>
      <c r="N14" s="299">
        <f t="shared" si="1"/>
        <v>-1.021427220000021</v>
      </c>
      <c r="O14" s="299">
        <f t="shared" si="2"/>
        <v>-1.0431250099999829</v>
      </c>
      <c r="P14" s="299">
        <f t="shared" si="3"/>
        <v>2.1697790000000002E-2</v>
      </c>
      <c r="Q14" s="299">
        <f t="shared" si="4"/>
        <v>0</v>
      </c>
      <c r="R14" s="299">
        <f t="shared" si="5"/>
        <v>4.2663E-2</v>
      </c>
      <c r="S14" s="300">
        <f t="shared" si="6"/>
        <v>-2.0965210000000001E-2</v>
      </c>
      <c r="T14" s="244">
        <f t="shared" si="7"/>
        <v>0.64459395616452442</v>
      </c>
      <c r="U14" s="244">
        <f t="shared" si="8"/>
        <v>3.6562601785467046E-4</v>
      </c>
    </row>
    <row r="15" spans="1:21" s="292" customFormat="1" x14ac:dyDescent="0.3">
      <c r="A15" s="112" t="s">
        <v>66</v>
      </c>
      <c r="B15" s="299">
        <v>28.064648340000002</v>
      </c>
      <c r="C15" s="299">
        <v>28.071034539999999</v>
      </c>
      <c r="D15" s="299">
        <v>1.8701358000000001</v>
      </c>
      <c r="E15" s="299">
        <v>0.87173031000000001</v>
      </c>
      <c r="F15" s="299">
        <v>0</v>
      </c>
      <c r="G15" s="299">
        <v>0.99840549000000001</v>
      </c>
      <c r="H15" s="299">
        <v>25.70759</v>
      </c>
      <c r="I15" s="299">
        <v>25.34372823</v>
      </c>
      <c r="J15" s="299">
        <v>0.36386177000000003</v>
      </c>
      <c r="K15" s="299">
        <v>0</v>
      </c>
      <c r="L15" s="299">
        <v>0.3</v>
      </c>
      <c r="M15" s="299">
        <v>6.3861769999999998E-2</v>
      </c>
      <c r="N15" s="299">
        <f t="shared" si="1"/>
        <v>-2.3570583400000018</v>
      </c>
      <c r="O15" s="299">
        <f t="shared" si="2"/>
        <v>-2.7273063099999995</v>
      </c>
      <c r="P15" s="299">
        <f t="shared" si="3"/>
        <v>-1.5062740300000002</v>
      </c>
      <c r="Q15" s="299">
        <f t="shared" si="4"/>
        <v>-0.87173031000000001</v>
      </c>
      <c r="R15" s="299">
        <f t="shared" si="5"/>
        <v>0.3</v>
      </c>
      <c r="S15" s="300">
        <f t="shared" si="6"/>
        <v>-0.93454371999999997</v>
      </c>
      <c r="T15" s="244">
        <f t="shared" si="7"/>
        <v>6.4721137698378145E-2</v>
      </c>
      <c r="U15" s="244">
        <f t="shared" si="8"/>
        <v>2.1562738311153768E-3</v>
      </c>
    </row>
    <row r="16" spans="1:21" s="292" customFormat="1" x14ac:dyDescent="0.3">
      <c r="A16" s="112" t="s">
        <v>68</v>
      </c>
      <c r="B16" s="299">
        <v>641.62750411000002</v>
      </c>
      <c r="C16" s="299">
        <v>637.29460247999998</v>
      </c>
      <c r="D16" s="299">
        <v>4.5283016299999996</v>
      </c>
      <c r="E16" s="299">
        <v>0</v>
      </c>
      <c r="F16" s="299">
        <v>4.5283016299999996</v>
      </c>
      <c r="G16" s="299">
        <v>0</v>
      </c>
      <c r="H16" s="299">
        <v>653.71725154000001</v>
      </c>
      <c r="I16" s="299">
        <v>648.77676516999998</v>
      </c>
      <c r="J16" s="299">
        <v>4.9404863700000003</v>
      </c>
      <c r="K16" s="299">
        <v>0</v>
      </c>
      <c r="L16" s="299">
        <v>4.9204863699999999</v>
      </c>
      <c r="M16" s="299">
        <v>0.02</v>
      </c>
      <c r="N16" s="299">
        <f t="shared" si="1"/>
        <v>12.089747429999989</v>
      </c>
      <c r="O16" s="299">
        <f t="shared" si="2"/>
        <v>11.482162689999996</v>
      </c>
      <c r="P16" s="299">
        <f t="shared" si="3"/>
        <v>0.41218474000000072</v>
      </c>
      <c r="Q16" s="299">
        <f t="shared" si="4"/>
        <v>0</v>
      </c>
      <c r="R16" s="299">
        <f t="shared" si="5"/>
        <v>0.39218474000000025</v>
      </c>
      <c r="S16" s="300">
        <f t="shared" si="6"/>
        <v>0.02</v>
      </c>
      <c r="T16" s="244">
        <f t="shared" si="7"/>
        <v>1.6457911555585585</v>
      </c>
      <c r="U16" s="244">
        <f t="shared" si="8"/>
        <v>2.9277715745221602E-2</v>
      </c>
    </row>
    <row r="17" spans="1:21" s="292" customFormat="1" hidden="1" x14ac:dyDescent="0.3">
      <c r="A17" s="112" t="s">
        <v>69</v>
      </c>
      <c r="B17" s="299">
        <v>22.43972939</v>
      </c>
      <c r="C17" s="299">
        <v>20.617561339999998</v>
      </c>
      <c r="D17" s="299">
        <v>4.9061680500000007</v>
      </c>
      <c r="E17" s="299">
        <v>0</v>
      </c>
      <c r="F17" s="299">
        <v>4.8861680500000002</v>
      </c>
      <c r="G17" s="299">
        <v>4.906155</v>
      </c>
      <c r="H17" s="299">
        <v>1.39</v>
      </c>
      <c r="I17" s="299">
        <v>0</v>
      </c>
      <c r="J17" s="299">
        <v>1.39</v>
      </c>
      <c r="K17" s="299">
        <v>0</v>
      </c>
      <c r="L17" s="299">
        <v>0</v>
      </c>
      <c r="M17" s="299">
        <v>1.39</v>
      </c>
      <c r="N17" s="299">
        <f t="shared" si="1"/>
        <v>-21.04972939</v>
      </c>
      <c r="O17" s="299">
        <f t="shared" si="2"/>
        <v>-20.617561339999998</v>
      </c>
      <c r="P17" s="299">
        <f t="shared" si="3"/>
        <v>-3.516168050000001</v>
      </c>
      <c r="Q17" s="299">
        <f t="shared" si="4"/>
        <v>0</v>
      </c>
      <c r="R17" s="299">
        <f t="shared" si="5"/>
        <v>-4.8861680500000002</v>
      </c>
      <c r="S17" s="300">
        <f t="shared" si="6"/>
        <v>-3.5161550000000004</v>
      </c>
      <c r="T17" s="244">
        <f t="shared" si="7"/>
        <v>3.49944827192069E-3</v>
      </c>
      <c r="U17" s="244">
        <f t="shared" si="8"/>
        <v>8.2372507154306798E-3</v>
      </c>
    </row>
    <row r="18" spans="1:21" s="292" customFormat="1" hidden="1" x14ac:dyDescent="0.3">
      <c r="A18" s="112" t="s">
        <v>70</v>
      </c>
      <c r="B18" s="299">
        <v>323.77165429000001</v>
      </c>
      <c r="C18" s="299">
        <v>323.77165429000001</v>
      </c>
      <c r="D18" s="299">
        <v>0</v>
      </c>
      <c r="E18" s="299">
        <v>0</v>
      </c>
      <c r="F18" s="299">
        <v>0</v>
      </c>
      <c r="G18" s="299">
        <v>0</v>
      </c>
      <c r="H18" s="299">
        <v>339.84374058999998</v>
      </c>
      <c r="I18" s="299">
        <v>339.84374058999998</v>
      </c>
      <c r="J18" s="299">
        <v>0</v>
      </c>
      <c r="K18" s="299">
        <v>0</v>
      </c>
      <c r="L18" s="299">
        <v>0</v>
      </c>
      <c r="M18" s="299">
        <v>0</v>
      </c>
      <c r="N18" s="299">
        <f t="shared" si="1"/>
        <v>16.072086299999967</v>
      </c>
      <c r="O18" s="299">
        <f t="shared" si="2"/>
        <v>16.072086299999967</v>
      </c>
      <c r="P18" s="299">
        <f t="shared" si="3"/>
        <v>0</v>
      </c>
      <c r="Q18" s="299">
        <f t="shared" si="4"/>
        <v>0</v>
      </c>
      <c r="R18" s="299">
        <f t="shared" si="5"/>
        <v>0</v>
      </c>
      <c r="S18" s="300">
        <f t="shared" si="6"/>
        <v>0</v>
      </c>
      <c r="T18" s="244">
        <f t="shared" si="7"/>
        <v>0.85558675592139477</v>
      </c>
      <c r="U18" s="244">
        <f t="shared" si="8"/>
        <v>0</v>
      </c>
    </row>
    <row r="19" spans="1:21" s="292" customFormat="1" x14ac:dyDescent="0.3">
      <c r="A19" s="112" t="s">
        <v>71</v>
      </c>
      <c r="B19" s="299">
        <v>251.60770134999999</v>
      </c>
      <c r="C19" s="299">
        <v>123.45988795000001</v>
      </c>
      <c r="D19" s="299">
        <v>129.91343848</v>
      </c>
      <c r="E19" s="299">
        <v>105.92242739</v>
      </c>
      <c r="F19" s="299">
        <v>21.858445850000003</v>
      </c>
      <c r="G19" s="299">
        <v>3.7752107700000002</v>
      </c>
      <c r="H19" s="299">
        <v>332.53120576999999</v>
      </c>
      <c r="I19" s="299">
        <v>242.38247968000002</v>
      </c>
      <c r="J19" s="299">
        <v>90.148726090000025</v>
      </c>
      <c r="K19" s="299">
        <v>62.179932840000006</v>
      </c>
      <c r="L19" s="299">
        <v>25.12671353</v>
      </c>
      <c r="M19" s="299">
        <v>3.6820522699999993</v>
      </c>
      <c r="N19" s="299">
        <f t="shared" si="1"/>
        <v>80.92350442</v>
      </c>
      <c r="O19" s="299">
        <f t="shared" si="2"/>
        <v>118.92259173000001</v>
      </c>
      <c r="P19" s="299">
        <f t="shared" si="3"/>
        <v>-39.764712389999971</v>
      </c>
      <c r="Q19" s="299">
        <f t="shared" si="4"/>
        <v>-43.742494549999989</v>
      </c>
      <c r="R19" s="299">
        <f t="shared" si="5"/>
        <v>3.2682676799999975</v>
      </c>
      <c r="S19" s="300">
        <f t="shared" si="6"/>
        <v>-9.315850000000081E-2</v>
      </c>
      <c r="T19" s="244">
        <f t="shared" si="7"/>
        <v>0.8371768010011007</v>
      </c>
      <c r="U19" s="244">
        <f t="shared" si="8"/>
        <v>0.53422853128058789</v>
      </c>
    </row>
    <row r="20" spans="1:21" s="292" customFormat="1" x14ac:dyDescent="0.3">
      <c r="A20" s="112" t="s">
        <v>72</v>
      </c>
      <c r="B20" s="299">
        <v>2061.7092647700001</v>
      </c>
      <c r="C20" s="299">
        <v>1508.9259190799999</v>
      </c>
      <c r="D20" s="299">
        <v>564.48781712000005</v>
      </c>
      <c r="E20" s="299">
        <v>454.28917431999997</v>
      </c>
      <c r="F20" s="299">
        <v>38.661034100000002</v>
      </c>
      <c r="G20" s="299">
        <v>96.642691859999999</v>
      </c>
      <c r="H20" s="299">
        <v>2389.31984792</v>
      </c>
      <c r="I20" s="299">
        <v>1846.6684204100002</v>
      </c>
      <c r="J20" s="299">
        <v>621.21157346999996</v>
      </c>
      <c r="K20" s="299">
        <v>517.70693482000001</v>
      </c>
      <c r="L20" s="299">
        <v>71.346736590000006</v>
      </c>
      <c r="M20" s="299">
        <v>69.381625389999996</v>
      </c>
      <c r="N20" s="299">
        <f t="shared" si="1"/>
        <v>327.61058314999991</v>
      </c>
      <c r="O20" s="299">
        <f t="shared" si="2"/>
        <v>337.74250133000032</v>
      </c>
      <c r="P20" s="299">
        <f t="shared" si="3"/>
        <v>56.723756349999917</v>
      </c>
      <c r="Q20" s="299">
        <f t="shared" si="4"/>
        <v>63.417760500000043</v>
      </c>
      <c r="R20" s="299">
        <f t="shared" si="5"/>
        <v>32.685702490000004</v>
      </c>
      <c r="S20" s="300">
        <f t="shared" si="6"/>
        <v>-27.261066470000003</v>
      </c>
      <c r="T20" s="244">
        <f t="shared" si="7"/>
        <v>6.0153246135751441</v>
      </c>
      <c r="U20" s="244">
        <f t="shared" si="8"/>
        <v>3.6813492647478965</v>
      </c>
    </row>
    <row r="21" spans="1:21" s="292" customFormat="1" hidden="1" x14ac:dyDescent="0.3">
      <c r="A21" s="112" t="s">
        <v>73</v>
      </c>
      <c r="B21" s="299">
        <v>4.989071</v>
      </c>
      <c r="C21" s="299">
        <v>3.9100959999999998</v>
      </c>
      <c r="D21" s="299">
        <v>1.096071</v>
      </c>
      <c r="E21" s="299">
        <v>1.078975</v>
      </c>
      <c r="F21" s="299">
        <v>1.7096E-2</v>
      </c>
      <c r="G21" s="299">
        <v>1.7096E-2</v>
      </c>
      <c r="H21" s="299">
        <v>4.3378311700000003</v>
      </c>
      <c r="I21" s="299">
        <v>3.47465117</v>
      </c>
      <c r="J21" s="299">
        <v>0.86317999999999995</v>
      </c>
      <c r="K21" s="299">
        <v>0.86317999999999995</v>
      </c>
      <c r="L21" s="299">
        <v>0</v>
      </c>
      <c r="M21" s="299">
        <v>0</v>
      </c>
      <c r="N21" s="299">
        <f t="shared" si="1"/>
        <v>-0.65123982999999974</v>
      </c>
      <c r="O21" s="299">
        <f t="shared" si="2"/>
        <v>-0.43544482999999978</v>
      </c>
      <c r="P21" s="299">
        <f t="shared" si="3"/>
        <v>-0.23289100000000007</v>
      </c>
      <c r="Q21" s="299">
        <f t="shared" si="4"/>
        <v>-0.21579500000000007</v>
      </c>
      <c r="R21" s="299">
        <f t="shared" si="5"/>
        <v>-1.7096E-2</v>
      </c>
      <c r="S21" s="300">
        <f t="shared" si="6"/>
        <v>-1.7096E-2</v>
      </c>
      <c r="T21" s="244">
        <f t="shared" si="7"/>
        <v>1.0920874670316695E-2</v>
      </c>
      <c r="U21" s="244">
        <f t="shared" si="8"/>
        <v>5.1152734334859382E-3</v>
      </c>
    </row>
    <row r="22" spans="1:21" s="292" customFormat="1" x14ac:dyDescent="0.3">
      <c r="A22" s="112" t="s">
        <v>74</v>
      </c>
      <c r="B22" s="299">
        <v>171.72896918000001</v>
      </c>
      <c r="C22" s="299">
        <v>106.04340988</v>
      </c>
      <c r="D22" s="299">
        <v>66.33445180999999</v>
      </c>
      <c r="E22" s="299">
        <v>44.679014789999997</v>
      </c>
      <c r="F22" s="299">
        <v>14.683191220000001</v>
      </c>
      <c r="G22" s="299">
        <v>10.232939529999999</v>
      </c>
      <c r="H22" s="299">
        <v>130.81218999000001</v>
      </c>
      <c r="I22" s="299">
        <v>80.621382740000001</v>
      </c>
      <c r="J22" s="299">
        <v>50.914176910000002</v>
      </c>
      <c r="K22" s="299">
        <v>33.583803950000004</v>
      </c>
      <c r="L22" s="299">
        <v>15.966334119999999</v>
      </c>
      <c r="M22" s="299">
        <v>4.2260204200000002</v>
      </c>
      <c r="N22" s="299">
        <f t="shared" si="1"/>
        <v>-40.91677919</v>
      </c>
      <c r="O22" s="299">
        <f t="shared" si="2"/>
        <v>-25.422027139999997</v>
      </c>
      <c r="P22" s="299">
        <f t="shared" si="3"/>
        <v>-15.420274899999988</v>
      </c>
      <c r="Q22" s="299">
        <f t="shared" si="4"/>
        <v>-11.095210839999993</v>
      </c>
      <c r="R22" s="299">
        <f t="shared" si="5"/>
        <v>1.2831428999999979</v>
      </c>
      <c r="S22" s="300">
        <f t="shared" si="6"/>
        <v>-6.0069191099999992</v>
      </c>
      <c r="T22" s="244">
        <f t="shared" si="7"/>
        <v>0.32933128935731404</v>
      </c>
      <c r="U22" s="244">
        <f t="shared" si="8"/>
        <v>0.30172146775356962</v>
      </c>
    </row>
    <row r="23" spans="1:21" s="244" customFormat="1" x14ac:dyDescent="0.3">
      <c r="A23" s="45" t="s">
        <v>75</v>
      </c>
      <c r="B23" s="34">
        <v>3134.5731557899999</v>
      </c>
      <c r="C23" s="34">
        <v>2193.7715893099999</v>
      </c>
      <c r="D23" s="34">
        <v>1392.0719098999996</v>
      </c>
      <c r="E23" s="34">
        <v>754.46747660000005</v>
      </c>
      <c r="F23" s="34">
        <v>463.87545126999999</v>
      </c>
      <c r="G23" s="34">
        <v>614.66913586999999</v>
      </c>
      <c r="H23" s="34">
        <v>3714.5270556099999</v>
      </c>
      <c r="I23" s="34">
        <v>2841.0986108400002</v>
      </c>
      <c r="J23" s="34">
        <v>1246.9706815899999</v>
      </c>
      <c r="K23" s="34">
        <v>711.99157453999999</v>
      </c>
      <c r="L23" s="34">
        <v>289.13759085999999</v>
      </c>
      <c r="M23" s="34">
        <v>489.64317639000001</v>
      </c>
      <c r="N23" s="34">
        <f t="shared" si="1"/>
        <v>579.95389982000006</v>
      </c>
      <c r="O23" s="34">
        <f t="shared" si="2"/>
        <v>647.32702153000037</v>
      </c>
      <c r="P23" s="34">
        <f t="shared" si="3"/>
        <v>-145.10122830999967</v>
      </c>
      <c r="Q23" s="34">
        <f t="shared" si="4"/>
        <v>-42.475902060000067</v>
      </c>
      <c r="R23" s="34">
        <f t="shared" si="5"/>
        <v>-174.73786041</v>
      </c>
      <c r="S23" s="50">
        <f t="shared" si="6"/>
        <v>-125.02595947999998</v>
      </c>
      <c r="T23" s="244">
        <f t="shared" si="7"/>
        <v>9.3516512847173114</v>
      </c>
      <c r="U23" s="244">
        <f t="shared" si="8"/>
        <v>7.3896475820491441</v>
      </c>
    </row>
    <row r="24" spans="1:21" s="292" customFormat="1" x14ac:dyDescent="0.3">
      <c r="A24" s="293" t="s">
        <v>76</v>
      </c>
      <c r="B24" s="299">
        <v>843.67046571000003</v>
      </c>
      <c r="C24" s="299">
        <v>477.49963894000001</v>
      </c>
      <c r="D24" s="299">
        <v>805.04424070999983</v>
      </c>
      <c r="E24" s="299">
        <v>338.68891958999995</v>
      </c>
      <c r="F24" s="299">
        <v>421.81316151999999</v>
      </c>
      <c r="G24" s="299">
        <v>466.56300583999996</v>
      </c>
      <c r="H24" s="299">
        <v>1083.1455295399999</v>
      </c>
      <c r="I24" s="299">
        <v>653.36360035999996</v>
      </c>
      <c r="J24" s="299">
        <v>741.42290794000007</v>
      </c>
      <c r="K24" s="299">
        <v>384.28512857999999</v>
      </c>
      <c r="L24" s="299">
        <v>214.78547663000001</v>
      </c>
      <c r="M24" s="299">
        <v>337.91060087</v>
      </c>
      <c r="N24" s="299">
        <f t="shared" si="1"/>
        <v>239.47506382999984</v>
      </c>
      <c r="O24" s="299">
        <f t="shared" si="2"/>
        <v>175.86396141999995</v>
      </c>
      <c r="P24" s="299">
        <f t="shared" si="3"/>
        <v>-63.621332769999754</v>
      </c>
      <c r="Q24" s="299">
        <f t="shared" si="4"/>
        <v>45.596208990000036</v>
      </c>
      <c r="R24" s="299">
        <f t="shared" si="5"/>
        <v>-207.02768488999999</v>
      </c>
      <c r="S24" s="300">
        <f t="shared" si="6"/>
        <v>-128.65240496999996</v>
      </c>
      <c r="T24" s="244">
        <f t="shared" si="7"/>
        <v>2.7269149291995491</v>
      </c>
      <c r="U24" s="244">
        <f t="shared" si="8"/>
        <v>4.3937312078168782</v>
      </c>
    </row>
    <row r="25" spans="1:21" s="292" customFormat="1" x14ac:dyDescent="0.3">
      <c r="A25" s="112" t="s">
        <v>77</v>
      </c>
      <c r="B25" s="299">
        <v>1839.9244645799999</v>
      </c>
      <c r="C25" s="299">
        <v>1693.28502731</v>
      </c>
      <c r="D25" s="299">
        <v>157.05897485</v>
      </c>
      <c r="E25" s="299">
        <v>91.051582859999996</v>
      </c>
      <c r="F25" s="299">
        <v>30.546025180000001</v>
      </c>
      <c r="G25" s="299">
        <v>51.417175409999999</v>
      </c>
      <c r="H25" s="299">
        <v>2220.1997965999999</v>
      </c>
      <c r="I25" s="299">
        <v>2158.4880472199998</v>
      </c>
      <c r="J25" s="299">
        <v>117.32144339999998</v>
      </c>
      <c r="K25" s="299">
        <v>32.200226989999997</v>
      </c>
      <c r="L25" s="299">
        <v>64.805767920000008</v>
      </c>
      <c r="M25" s="299">
        <v>64.963420760000005</v>
      </c>
      <c r="N25" s="299">
        <f t="shared" si="1"/>
        <v>380.27533201999995</v>
      </c>
      <c r="O25" s="299">
        <f t="shared" si="2"/>
        <v>465.20301990999974</v>
      </c>
      <c r="P25" s="299">
        <f t="shared" si="3"/>
        <v>-39.73753145000002</v>
      </c>
      <c r="Q25" s="299">
        <f t="shared" si="4"/>
        <v>-58.851355869999999</v>
      </c>
      <c r="R25" s="299">
        <f t="shared" si="5"/>
        <v>34.259742740000007</v>
      </c>
      <c r="S25" s="300">
        <f t="shared" si="6"/>
        <v>13.546245350000007</v>
      </c>
      <c r="T25" s="244">
        <f t="shared" si="7"/>
        <v>5.5895498859931925</v>
      </c>
      <c r="U25" s="244">
        <f t="shared" si="8"/>
        <v>0.69525621840432372</v>
      </c>
    </row>
    <row r="26" spans="1:21" s="292" customFormat="1" x14ac:dyDescent="0.3">
      <c r="A26" s="112" t="s">
        <v>78</v>
      </c>
      <c r="B26" s="299">
        <v>312.69201658999998</v>
      </c>
      <c r="C26" s="299">
        <v>1.9773919</v>
      </c>
      <c r="D26" s="299">
        <v>312.69201659000004</v>
      </c>
      <c r="E26" s="299">
        <v>226.91435483000001</v>
      </c>
      <c r="F26" s="299">
        <v>3.4518589999999998</v>
      </c>
      <c r="G26" s="299">
        <v>85.062151760000006</v>
      </c>
      <c r="H26" s="299">
        <v>285.03060283999997</v>
      </c>
      <c r="I26" s="299">
        <v>4.8915640400000004</v>
      </c>
      <c r="J26" s="299">
        <v>285.03060283999997</v>
      </c>
      <c r="K26" s="299">
        <v>207.72747980000003</v>
      </c>
      <c r="L26" s="299">
        <v>2.7813652900000001</v>
      </c>
      <c r="M26" s="299">
        <v>77.147147540000006</v>
      </c>
      <c r="N26" s="299">
        <f t="shared" si="1"/>
        <v>-27.661413750000008</v>
      </c>
      <c r="O26" s="299">
        <f t="shared" si="2"/>
        <v>2.9141721400000007</v>
      </c>
      <c r="P26" s="299">
        <f t="shared" si="3"/>
        <v>-27.661413750000065</v>
      </c>
      <c r="Q26" s="299">
        <f t="shared" si="4"/>
        <v>-19.186875029999982</v>
      </c>
      <c r="R26" s="299">
        <f t="shared" si="5"/>
        <v>-0.67049370999999969</v>
      </c>
      <c r="S26" s="300">
        <f t="shared" si="6"/>
        <v>-7.9150042200000001</v>
      </c>
      <c r="T26" s="244">
        <f t="shared" si="7"/>
        <v>0.71758982054169096</v>
      </c>
      <c r="U26" s="244">
        <f t="shared" si="8"/>
        <v>1.6891140555132576</v>
      </c>
    </row>
    <row r="27" spans="1:21" s="292" customFormat="1" ht="26.4" x14ac:dyDescent="0.3">
      <c r="A27" s="112" t="s">
        <v>79</v>
      </c>
      <c r="B27" s="299">
        <v>138.28620891</v>
      </c>
      <c r="C27" s="299">
        <v>21.009531160000002</v>
      </c>
      <c r="D27" s="299">
        <v>117.27667774999999</v>
      </c>
      <c r="E27" s="299">
        <v>97.812619319999996</v>
      </c>
      <c r="F27" s="299">
        <v>8.0644055699999999</v>
      </c>
      <c r="G27" s="299">
        <v>11.62680286</v>
      </c>
      <c r="H27" s="299">
        <v>126.15112662999999</v>
      </c>
      <c r="I27" s="299">
        <v>24.355399219999999</v>
      </c>
      <c r="J27" s="299">
        <v>103.19572741</v>
      </c>
      <c r="K27" s="299">
        <v>87.778739170000009</v>
      </c>
      <c r="L27" s="299">
        <v>6.7649810199999996</v>
      </c>
      <c r="M27" s="299">
        <v>9.6220072200000004</v>
      </c>
      <c r="N27" s="299">
        <f t="shared" si="1"/>
        <v>-12.135082280000006</v>
      </c>
      <c r="O27" s="299">
        <f t="shared" si="2"/>
        <v>3.3458680599999973</v>
      </c>
      <c r="P27" s="299">
        <f t="shared" si="3"/>
        <v>-14.080950339999987</v>
      </c>
      <c r="Q27" s="299">
        <f t="shared" si="4"/>
        <v>-10.033880149999987</v>
      </c>
      <c r="R27" s="299">
        <f t="shared" si="5"/>
        <v>-1.2994245500000003</v>
      </c>
      <c r="S27" s="300">
        <f t="shared" si="6"/>
        <v>-2.0047956399999993</v>
      </c>
      <c r="T27" s="244">
        <f t="shared" si="7"/>
        <v>0.31759664898287887</v>
      </c>
      <c r="U27" s="244">
        <f t="shared" si="8"/>
        <v>0.61154610031468493</v>
      </c>
    </row>
    <row r="28" spans="1:21" s="244" customFormat="1" x14ac:dyDescent="0.3">
      <c r="A28" s="108" t="s">
        <v>80</v>
      </c>
      <c r="B28" s="34">
        <v>26.603128999999999</v>
      </c>
      <c r="C28" s="34">
        <v>25.344514140000001</v>
      </c>
      <c r="D28" s="34">
        <v>1.25861486</v>
      </c>
      <c r="E28" s="34">
        <v>1.0786801000000001</v>
      </c>
      <c r="F28" s="34">
        <v>0.17993476</v>
      </c>
      <c r="G28" s="34">
        <v>0</v>
      </c>
      <c r="H28" s="34">
        <v>27.03777685</v>
      </c>
      <c r="I28" s="34">
        <v>26.052444649999998</v>
      </c>
      <c r="J28" s="34">
        <v>0.9853322000000001</v>
      </c>
      <c r="K28" s="34">
        <v>0.72765780000000002</v>
      </c>
      <c r="L28" s="34">
        <v>0.25767439999999997</v>
      </c>
      <c r="M28" s="34">
        <v>0</v>
      </c>
      <c r="N28" s="34">
        <f t="shared" si="1"/>
        <v>0.43464785000000106</v>
      </c>
      <c r="O28" s="34">
        <f t="shared" si="2"/>
        <v>0.70793050999999707</v>
      </c>
      <c r="P28" s="34">
        <f t="shared" si="3"/>
        <v>-0.2732826599999999</v>
      </c>
      <c r="Q28" s="34">
        <f t="shared" si="4"/>
        <v>-0.35102230000000012</v>
      </c>
      <c r="R28" s="34">
        <f t="shared" si="5"/>
        <v>7.7739639999999971E-2</v>
      </c>
      <c r="S28" s="50">
        <f t="shared" si="6"/>
        <v>0</v>
      </c>
      <c r="T28" s="244">
        <f t="shared" si="7"/>
        <v>6.8070001060654486E-2</v>
      </c>
      <c r="U28" s="244">
        <f t="shared" si="8"/>
        <v>5.8391571002783362E-3</v>
      </c>
    </row>
    <row r="29" spans="1:21" s="244" customFormat="1" x14ac:dyDescent="0.3">
      <c r="A29" s="108" t="s">
        <v>81</v>
      </c>
      <c r="B29" s="34">
        <v>13547.95640977</v>
      </c>
      <c r="C29" s="34">
        <v>9908.6415529500009</v>
      </c>
      <c r="D29" s="34">
        <v>11043.9655035</v>
      </c>
      <c r="E29" s="34">
        <v>5897.8765865799996</v>
      </c>
      <c r="F29" s="34">
        <v>5145.7522329399999</v>
      </c>
      <c r="G29" s="34">
        <v>0.53668397999999995</v>
      </c>
      <c r="H29" s="34">
        <v>13689.11013535</v>
      </c>
      <c r="I29" s="34">
        <v>10042.845691190001</v>
      </c>
      <c r="J29" s="34">
        <v>11124.13811982</v>
      </c>
      <c r="K29" s="34">
        <v>5866.7124243900007</v>
      </c>
      <c r="L29" s="34">
        <v>5256.9247694799997</v>
      </c>
      <c r="M29" s="34">
        <v>0.54992595</v>
      </c>
      <c r="N29" s="34">
        <f t="shared" si="1"/>
        <v>141.15372557999945</v>
      </c>
      <c r="O29" s="34">
        <f t="shared" si="2"/>
        <v>134.20413824000025</v>
      </c>
      <c r="P29" s="34">
        <f t="shared" si="3"/>
        <v>80.172616320000088</v>
      </c>
      <c r="Q29" s="34">
        <f t="shared" si="4"/>
        <v>-31.164162189998933</v>
      </c>
      <c r="R29" s="34">
        <f t="shared" si="5"/>
        <v>111.17253653999978</v>
      </c>
      <c r="S29" s="50">
        <f t="shared" si="6"/>
        <v>1.3241970000000047E-2</v>
      </c>
      <c r="T29" s="244">
        <f t="shared" si="7"/>
        <v>34.463548782217671</v>
      </c>
      <c r="U29" s="244">
        <f t="shared" si="8"/>
        <v>65.922528551105756</v>
      </c>
    </row>
    <row r="30" spans="1:21" s="244" customFormat="1" x14ac:dyDescent="0.3">
      <c r="A30" s="108" t="s">
        <v>82</v>
      </c>
      <c r="B30" s="34">
        <v>1200.3364395199999</v>
      </c>
      <c r="C30" s="34">
        <v>328.13309351999999</v>
      </c>
      <c r="D30" s="34">
        <v>875.38868600000001</v>
      </c>
      <c r="E30" s="34">
        <v>365.10778175000002</v>
      </c>
      <c r="F30" s="34">
        <v>317.77774875</v>
      </c>
      <c r="G30" s="34">
        <v>242.05854516999997</v>
      </c>
      <c r="H30" s="34">
        <v>1272.3707625100001</v>
      </c>
      <c r="I30" s="34">
        <v>396.67233343999999</v>
      </c>
      <c r="J30" s="34">
        <v>881.15108124000017</v>
      </c>
      <c r="K30" s="34">
        <v>365.86817855999999</v>
      </c>
      <c r="L30" s="34">
        <v>382.30815491999999</v>
      </c>
      <c r="M30" s="34">
        <v>180.08291242999999</v>
      </c>
      <c r="N30" s="34">
        <f t="shared" si="1"/>
        <v>72.034322990000192</v>
      </c>
      <c r="O30" s="34">
        <f t="shared" si="2"/>
        <v>68.53923992</v>
      </c>
      <c r="P30" s="34">
        <f t="shared" si="3"/>
        <v>5.7623952400001599</v>
      </c>
      <c r="Q30" s="34">
        <f t="shared" si="4"/>
        <v>0.76039680999997472</v>
      </c>
      <c r="R30" s="34">
        <f t="shared" si="5"/>
        <v>64.530406169999992</v>
      </c>
      <c r="S30" s="50">
        <f t="shared" si="6"/>
        <v>-61.97563273999998</v>
      </c>
      <c r="T30" s="244">
        <f t="shared" si="7"/>
        <v>3.203306234610094</v>
      </c>
      <c r="U30" s="244">
        <f t="shared" si="8"/>
        <v>5.2217714923357619</v>
      </c>
    </row>
    <row r="31" spans="1:21" s="244" customFormat="1" x14ac:dyDescent="0.3">
      <c r="A31" s="108" t="s">
        <v>274</v>
      </c>
      <c r="B31" s="34">
        <v>5757.8293432700002</v>
      </c>
      <c r="C31" s="34">
        <v>5757.5843432700003</v>
      </c>
      <c r="D31" s="34">
        <v>0.245</v>
      </c>
      <c r="E31" s="34">
        <v>0</v>
      </c>
      <c r="F31" s="34">
        <v>0.245</v>
      </c>
      <c r="G31" s="34">
        <v>0</v>
      </c>
      <c r="H31" s="34">
        <v>6027.8378574500002</v>
      </c>
      <c r="I31" s="34">
        <v>6027.7803574499994</v>
      </c>
      <c r="J31" s="34">
        <v>5.7500000000000002E-2</v>
      </c>
      <c r="K31" s="34">
        <v>0</v>
      </c>
      <c r="L31" s="34">
        <v>5.7500000000000002E-2</v>
      </c>
      <c r="M31" s="34">
        <v>0</v>
      </c>
      <c r="N31" s="34">
        <f t="shared" si="1"/>
        <v>270.00851418000002</v>
      </c>
      <c r="O31" s="34">
        <f t="shared" si="2"/>
        <v>270.19601417999911</v>
      </c>
      <c r="P31" s="34">
        <f t="shared" si="3"/>
        <v>-0.1875</v>
      </c>
      <c r="Q31" s="34">
        <f t="shared" si="4"/>
        <v>0</v>
      </c>
      <c r="R31" s="34">
        <f t="shared" si="5"/>
        <v>-0.1875</v>
      </c>
      <c r="S31" s="50">
        <f t="shared" si="6"/>
        <v>0</v>
      </c>
      <c r="T31" s="244">
        <f t="shared" si="7"/>
        <v>15.175616383936346</v>
      </c>
      <c r="U31" s="244">
        <f t="shared" si="8"/>
        <v>3.407495799548663E-4</v>
      </c>
    </row>
    <row r="32" spans="1:21" s="292" customFormat="1" hidden="1" x14ac:dyDescent="0.3">
      <c r="A32" s="293" t="s">
        <v>84</v>
      </c>
      <c r="B32" s="299">
        <v>895.53823899999998</v>
      </c>
      <c r="C32" s="299">
        <v>895.53823899999998</v>
      </c>
      <c r="D32" s="299">
        <v>0</v>
      </c>
      <c r="E32" s="299">
        <v>0</v>
      </c>
      <c r="F32" s="299">
        <v>0</v>
      </c>
      <c r="G32" s="299">
        <v>0</v>
      </c>
      <c r="H32" s="299">
        <v>1010.7279347699999</v>
      </c>
      <c r="I32" s="299">
        <v>1010.7279347699999</v>
      </c>
      <c r="J32" s="299">
        <v>0</v>
      </c>
      <c r="K32" s="299">
        <v>0</v>
      </c>
      <c r="L32" s="299">
        <v>0</v>
      </c>
      <c r="M32" s="299">
        <v>0</v>
      </c>
      <c r="N32" s="299">
        <f t="shared" si="1"/>
        <v>115.18969576999996</v>
      </c>
      <c r="O32" s="299">
        <f t="shared" si="2"/>
        <v>115.18969576999996</v>
      </c>
      <c r="P32" s="299">
        <f t="shared" si="3"/>
        <v>0</v>
      </c>
      <c r="Q32" s="299">
        <f t="shared" si="4"/>
        <v>0</v>
      </c>
      <c r="R32" s="299">
        <f t="shared" si="5"/>
        <v>0</v>
      </c>
      <c r="S32" s="300">
        <f t="shared" si="6"/>
        <v>0</v>
      </c>
      <c r="T32" s="244">
        <f t="shared" si="7"/>
        <v>2.5445972120236289</v>
      </c>
      <c r="U32" s="244">
        <f t="shared" si="8"/>
        <v>0</v>
      </c>
    </row>
    <row r="33" spans="1:21" s="292" customFormat="1" hidden="1" x14ac:dyDescent="0.3">
      <c r="A33" s="293" t="s">
        <v>85</v>
      </c>
      <c r="B33" s="299">
        <v>66.862905999999995</v>
      </c>
      <c r="C33" s="299">
        <v>66.862905999999995</v>
      </c>
      <c r="D33" s="299">
        <v>0</v>
      </c>
      <c r="E33" s="299">
        <v>0</v>
      </c>
      <c r="F33" s="299">
        <v>0</v>
      </c>
      <c r="G33" s="299">
        <v>0</v>
      </c>
      <c r="H33" s="299">
        <v>589.71126301000004</v>
      </c>
      <c r="I33" s="299">
        <v>589.71126301000004</v>
      </c>
      <c r="J33" s="299">
        <v>0</v>
      </c>
      <c r="K33" s="299">
        <v>0</v>
      </c>
      <c r="L33" s="299">
        <v>0</v>
      </c>
      <c r="M33" s="299">
        <v>0</v>
      </c>
      <c r="N33" s="299">
        <f t="shared" si="1"/>
        <v>522.84835701000009</v>
      </c>
      <c r="O33" s="299">
        <f t="shared" si="2"/>
        <v>522.84835701000009</v>
      </c>
      <c r="P33" s="299">
        <f t="shared" si="3"/>
        <v>0</v>
      </c>
      <c r="Q33" s="299">
        <f t="shared" si="4"/>
        <v>0</v>
      </c>
      <c r="R33" s="299">
        <f t="shared" si="5"/>
        <v>0</v>
      </c>
      <c r="S33" s="300">
        <f t="shared" si="6"/>
        <v>0</v>
      </c>
      <c r="T33" s="244">
        <f t="shared" si="7"/>
        <v>1.48465040307375</v>
      </c>
      <c r="U33" s="244">
        <f t="shared" si="8"/>
        <v>0</v>
      </c>
    </row>
    <row r="34" spans="1:21" s="292" customFormat="1" hidden="1" x14ac:dyDescent="0.3">
      <c r="A34" s="112" t="s">
        <v>86</v>
      </c>
      <c r="B34" s="299">
        <v>4667.8976082700001</v>
      </c>
      <c r="C34" s="299">
        <v>4667.6526082700002</v>
      </c>
      <c r="D34" s="299">
        <v>0.245</v>
      </c>
      <c r="E34" s="299">
        <v>0</v>
      </c>
      <c r="F34" s="299">
        <v>0.245</v>
      </c>
      <c r="G34" s="299">
        <v>0</v>
      </c>
      <c r="H34" s="299">
        <v>4260.4749596700003</v>
      </c>
      <c r="I34" s="299">
        <v>4260.4174596700004</v>
      </c>
      <c r="J34" s="299">
        <v>5.7500000000000002E-2</v>
      </c>
      <c r="K34" s="299">
        <v>0</v>
      </c>
      <c r="L34" s="299">
        <v>5.7500000000000002E-2</v>
      </c>
      <c r="M34" s="299">
        <v>0</v>
      </c>
      <c r="N34" s="299">
        <f t="shared" si="1"/>
        <v>-407.42264859999977</v>
      </c>
      <c r="O34" s="299">
        <f t="shared" si="2"/>
        <v>-407.23514859999977</v>
      </c>
      <c r="P34" s="299">
        <f t="shared" si="3"/>
        <v>-0.1875</v>
      </c>
      <c r="Q34" s="299">
        <f t="shared" si="4"/>
        <v>0</v>
      </c>
      <c r="R34" s="299">
        <f t="shared" si="5"/>
        <v>-0.1875</v>
      </c>
      <c r="S34" s="300">
        <f t="shared" si="6"/>
        <v>0</v>
      </c>
      <c r="T34" s="244">
        <f t="shared" si="7"/>
        <v>10.72612355048817</v>
      </c>
      <c r="U34" s="244">
        <f t="shared" si="8"/>
        <v>3.407495799548663E-4</v>
      </c>
    </row>
    <row r="35" spans="1:21" s="244" customFormat="1" x14ac:dyDescent="0.3">
      <c r="A35" s="108" t="s">
        <v>87</v>
      </c>
      <c r="B35" s="34">
        <v>6065.5613722799999</v>
      </c>
      <c r="C35" s="34">
        <v>5707.0785834600001</v>
      </c>
      <c r="D35" s="34">
        <v>849.47239421000006</v>
      </c>
      <c r="E35" s="34">
        <v>668.20417555999995</v>
      </c>
      <c r="F35" s="34">
        <v>180.94087243000001</v>
      </c>
      <c r="G35" s="34">
        <v>37.311841979999997</v>
      </c>
      <c r="H35" s="34">
        <v>6721.7312537200005</v>
      </c>
      <c r="I35" s="34">
        <v>6265.6539741400002</v>
      </c>
      <c r="J35" s="34">
        <v>1022.30927532</v>
      </c>
      <c r="K35" s="34">
        <v>840.80831526999998</v>
      </c>
      <c r="L35" s="34">
        <v>178.19893230000002</v>
      </c>
      <c r="M35" s="34">
        <v>9.0896557500000004</v>
      </c>
      <c r="N35" s="34">
        <f t="shared" si="1"/>
        <v>656.16988144000061</v>
      </c>
      <c r="O35" s="34">
        <f t="shared" si="2"/>
        <v>558.57539068000005</v>
      </c>
      <c r="P35" s="34">
        <f t="shared" si="3"/>
        <v>172.83688110999992</v>
      </c>
      <c r="Q35" s="34">
        <f t="shared" si="4"/>
        <v>172.60413971000003</v>
      </c>
      <c r="R35" s="34">
        <f t="shared" si="5"/>
        <v>-2.741940129999989</v>
      </c>
      <c r="S35" s="50">
        <f t="shared" si="6"/>
        <v>-28.222186229999998</v>
      </c>
      <c r="T35" s="244">
        <f t="shared" si="7"/>
        <v>16.922554546867445</v>
      </c>
      <c r="U35" s="244">
        <f t="shared" si="8"/>
        <v>6.0582861939000647</v>
      </c>
    </row>
    <row r="36" spans="1:21" s="244" customFormat="1" x14ac:dyDescent="0.3">
      <c r="A36" s="108" t="s">
        <v>88</v>
      </c>
      <c r="B36" s="34">
        <v>335.55664668000003</v>
      </c>
      <c r="C36" s="34">
        <v>266.77636677999999</v>
      </c>
      <c r="D36" s="34">
        <v>117.36585539000001</v>
      </c>
      <c r="E36" s="34">
        <v>106.48851759999999</v>
      </c>
      <c r="F36" s="34">
        <v>8.5922754600000015</v>
      </c>
      <c r="G36" s="34">
        <v>4.5623263300000003</v>
      </c>
      <c r="H36" s="34">
        <v>319.08199867000002</v>
      </c>
      <c r="I36" s="34">
        <v>248.22378766999998</v>
      </c>
      <c r="J36" s="34">
        <v>88.354736960000011</v>
      </c>
      <c r="K36" s="34">
        <v>78.407404010000008</v>
      </c>
      <c r="L36" s="34">
        <v>8.3546320600000001</v>
      </c>
      <c r="M36" s="34">
        <v>3.5198356400000002</v>
      </c>
      <c r="N36" s="34">
        <f t="shared" si="1"/>
        <v>-16.47464801000001</v>
      </c>
      <c r="O36" s="34">
        <f t="shared" si="2"/>
        <v>-18.552579110000011</v>
      </c>
      <c r="P36" s="34">
        <f t="shared" si="3"/>
        <v>-29.011118429999996</v>
      </c>
      <c r="Q36" s="34">
        <f t="shared" si="4"/>
        <v>-28.081113589999987</v>
      </c>
      <c r="R36" s="34">
        <f t="shared" si="5"/>
        <v>-0.23764340000000139</v>
      </c>
      <c r="S36" s="50">
        <f t="shared" si="6"/>
        <v>-1.0424906900000002</v>
      </c>
      <c r="T36" s="244">
        <f t="shared" si="7"/>
        <v>0.80331722938613781</v>
      </c>
      <c r="U36" s="244">
        <f t="shared" si="8"/>
        <v>0.52359720880248173</v>
      </c>
    </row>
    <row r="37" spans="1:21" s="244" customFormat="1" x14ac:dyDescent="0.3">
      <c r="A37" s="108" t="s">
        <v>89</v>
      </c>
      <c r="B37" s="34">
        <v>51.34080908</v>
      </c>
      <c r="C37" s="34">
        <v>35.174980130000002</v>
      </c>
      <c r="D37" s="34">
        <v>16.165828949999998</v>
      </c>
      <c r="E37" s="34">
        <v>16.158280949999998</v>
      </c>
      <c r="F37" s="34">
        <v>0</v>
      </c>
      <c r="G37" s="34">
        <v>7.548E-3</v>
      </c>
      <c r="H37" s="34">
        <v>46.691978349999999</v>
      </c>
      <c r="I37" s="34">
        <v>36.757108549999998</v>
      </c>
      <c r="J37" s="34">
        <v>9.9348698000000013</v>
      </c>
      <c r="K37" s="34">
        <v>9.9310500000000008</v>
      </c>
      <c r="L37" s="34">
        <v>0</v>
      </c>
      <c r="M37" s="34">
        <v>0</v>
      </c>
      <c r="N37" s="34">
        <f t="shared" si="1"/>
        <v>-4.6488307300000002</v>
      </c>
      <c r="O37" s="34">
        <f t="shared" si="2"/>
        <v>1.5821284199999965</v>
      </c>
      <c r="P37" s="34">
        <f t="shared" si="3"/>
        <v>-6.2309591499999968</v>
      </c>
      <c r="Q37" s="34">
        <f t="shared" si="4"/>
        <v>-6.2272309499999974</v>
      </c>
      <c r="R37" s="34">
        <f t="shared" si="5"/>
        <v>0</v>
      </c>
      <c r="S37" s="50">
        <f t="shared" si="6"/>
        <v>-7.548E-3</v>
      </c>
      <c r="T37" s="244">
        <f t="shared" si="7"/>
        <v>0.11755119636652214</v>
      </c>
      <c r="U37" s="244">
        <f t="shared" si="8"/>
        <v>5.8874829760978901E-2</v>
      </c>
    </row>
    <row r="38" spans="1:21" s="244" customFormat="1" x14ac:dyDescent="0.3">
      <c r="A38" s="108" t="s">
        <v>90</v>
      </c>
      <c r="B38" s="34">
        <v>948.62976945000003</v>
      </c>
      <c r="C38" s="34">
        <v>804.45763750000003</v>
      </c>
      <c r="D38" s="34">
        <v>144.17213194999999</v>
      </c>
      <c r="E38" s="34">
        <v>130.19862383</v>
      </c>
      <c r="F38" s="34">
        <v>13.77549361</v>
      </c>
      <c r="G38" s="34">
        <v>0.19801451</v>
      </c>
      <c r="H38" s="34">
        <v>733.44012385000008</v>
      </c>
      <c r="I38" s="34">
        <v>564.63160588999995</v>
      </c>
      <c r="J38" s="34">
        <v>168.80851796000002</v>
      </c>
      <c r="K38" s="34">
        <v>148.55759824</v>
      </c>
      <c r="L38" s="34">
        <v>18.99489548</v>
      </c>
      <c r="M38" s="34">
        <v>1.2560242399999999</v>
      </c>
      <c r="N38" s="34">
        <f t="shared" si="1"/>
        <v>-215.18964559999995</v>
      </c>
      <c r="O38" s="34">
        <f t="shared" si="2"/>
        <v>-239.82603161000009</v>
      </c>
      <c r="P38" s="34">
        <f t="shared" si="3"/>
        <v>24.636386010000024</v>
      </c>
      <c r="Q38" s="34">
        <f t="shared" si="4"/>
        <v>18.358974410000002</v>
      </c>
      <c r="R38" s="34">
        <f t="shared" si="5"/>
        <v>5.2194018700000004</v>
      </c>
      <c r="S38" s="50">
        <f t="shared" si="6"/>
        <v>1.05800973</v>
      </c>
      <c r="T38" s="244">
        <f t="shared" si="7"/>
        <v>1.8465005568087625</v>
      </c>
      <c r="U38" s="244">
        <f t="shared" si="8"/>
        <v>1.000372723263887</v>
      </c>
    </row>
    <row r="39" spans="1:21" s="244" customFormat="1" x14ac:dyDescent="0.3">
      <c r="A39" s="108" t="s">
        <v>91</v>
      </c>
      <c r="B39" s="34">
        <v>0</v>
      </c>
      <c r="C39" s="34">
        <v>1554.3798999999999</v>
      </c>
      <c r="D39" s="34">
        <v>0</v>
      </c>
      <c r="E39" s="34">
        <v>0</v>
      </c>
      <c r="F39" s="34">
        <v>279.13681287000003</v>
      </c>
      <c r="G39" s="34">
        <v>0.2525</v>
      </c>
      <c r="H39" s="34">
        <v>0</v>
      </c>
      <c r="I39" s="34">
        <v>1690.1908800000001</v>
      </c>
      <c r="J39" s="34"/>
      <c r="K39" s="34">
        <v>0</v>
      </c>
      <c r="L39" s="34">
        <v>254.82385558999999</v>
      </c>
      <c r="M39" s="34">
        <v>0</v>
      </c>
      <c r="N39" s="34"/>
      <c r="O39" s="34">
        <f t="shared" si="2"/>
        <v>135.8109800000002</v>
      </c>
      <c r="P39" s="34"/>
      <c r="Q39" s="34">
        <f t="shared" si="4"/>
        <v>0</v>
      </c>
      <c r="R39" s="34">
        <f t="shared" si="5"/>
        <v>-24.312957280000035</v>
      </c>
      <c r="S39" s="50">
        <f t="shared" si="6"/>
        <v>-0.2525</v>
      </c>
      <c r="T39" s="244">
        <f t="shared" si="7"/>
        <v>0</v>
      </c>
      <c r="U39" s="244">
        <f t="shared" si="8"/>
        <v>0</v>
      </c>
    </row>
    <row r="40" spans="1:21" s="292" customFormat="1" hidden="1" x14ac:dyDescent="0.3">
      <c r="A40" s="112" t="s">
        <v>92</v>
      </c>
      <c r="B40" s="299">
        <v>0</v>
      </c>
      <c r="C40" s="299">
        <v>445.71820000000002</v>
      </c>
      <c r="D40" s="299">
        <v>0</v>
      </c>
      <c r="E40" s="299">
        <v>0</v>
      </c>
      <c r="F40" s="299">
        <v>75.197008999999994</v>
      </c>
      <c r="G40" s="299">
        <v>0</v>
      </c>
      <c r="H40" s="299">
        <v>0</v>
      </c>
      <c r="I40" s="299">
        <v>644.15700000000004</v>
      </c>
      <c r="J40" s="299"/>
      <c r="K40" s="299">
        <v>0</v>
      </c>
      <c r="L40" s="299">
        <v>79.969732900000011</v>
      </c>
      <c r="M40" s="299">
        <v>0</v>
      </c>
      <c r="N40" s="299"/>
      <c r="O40" s="299">
        <f t="shared" si="2"/>
        <v>198.43880000000001</v>
      </c>
      <c r="P40" s="299"/>
      <c r="Q40" s="299">
        <f t="shared" si="4"/>
        <v>0</v>
      </c>
      <c r="R40" s="299">
        <f t="shared" si="5"/>
        <v>4.7727239000000168</v>
      </c>
      <c r="S40" s="300">
        <f t="shared" si="6"/>
        <v>0</v>
      </c>
      <c r="T40" s="244">
        <f t="shared" si="7"/>
        <v>0</v>
      </c>
      <c r="U40" s="244">
        <f t="shared" si="8"/>
        <v>0</v>
      </c>
    </row>
    <row r="41" spans="1:21" s="292" customFormat="1" hidden="1" x14ac:dyDescent="0.3">
      <c r="A41" s="112" t="s">
        <v>93</v>
      </c>
      <c r="B41" s="299">
        <v>0</v>
      </c>
      <c r="C41" s="299">
        <v>91.304000000000002</v>
      </c>
      <c r="D41" s="299">
        <v>0</v>
      </c>
      <c r="E41" s="299">
        <v>0</v>
      </c>
      <c r="F41" s="299">
        <v>64.781672999999998</v>
      </c>
      <c r="G41" s="299">
        <v>0</v>
      </c>
      <c r="H41" s="299">
        <v>0</v>
      </c>
      <c r="I41" s="299">
        <v>67.837999999999994</v>
      </c>
      <c r="J41" s="299"/>
      <c r="K41" s="299">
        <v>0</v>
      </c>
      <c r="L41" s="299">
        <v>44.749848540000002</v>
      </c>
      <c r="M41" s="299">
        <v>0</v>
      </c>
      <c r="N41" s="299"/>
      <c r="O41" s="299">
        <f t="shared" si="2"/>
        <v>-23.466000000000008</v>
      </c>
      <c r="P41" s="299"/>
      <c r="Q41" s="299">
        <f t="shared" si="4"/>
        <v>0</v>
      </c>
      <c r="R41" s="299">
        <f t="shared" si="5"/>
        <v>-20.031824459999996</v>
      </c>
      <c r="S41" s="300">
        <f t="shared" si="6"/>
        <v>0</v>
      </c>
      <c r="T41" s="244">
        <f t="shared" si="7"/>
        <v>0</v>
      </c>
      <c r="U41" s="244">
        <f t="shared" si="8"/>
        <v>0</v>
      </c>
    </row>
    <row r="42" spans="1:21" s="292" customFormat="1" hidden="1" x14ac:dyDescent="0.3">
      <c r="A42" s="112" t="s">
        <v>94</v>
      </c>
      <c r="B42" s="299">
        <v>0</v>
      </c>
      <c r="C42" s="299">
        <v>1017.3577</v>
      </c>
      <c r="D42" s="299">
        <v>0</v>
      </c>
      <c r="E42" s="299">
        <v>0</v>
      </c>
      <c r="F42" s="299">
        <v>139.15813087000001</v>
      </c>
      <c r="G42" s="299">
        <v>0.2525</v>
      </c>
      <c r="H42" s="299">
        <v>0</v>
      </c>
      <c r="I42" s="299">
        <v>978.19587999999999</v>
      </c>
      <c r="J42" s="299"/>
      <c r="K42" s="299">
        <v>0</v>
      </c>
      <c r="L42" s="299">
        <v>130.10427415000001</v>
      </c>
      <c r="M42" s="299">
        <v>0</v>
      </c>
      <c r="N42" s="299"/>
      <c r="O42" s="299">
        <f t="shared" si="2"/>
        <v>-39.161820000000034</v>
      </c>
      <c r="P42" s="299"/>
      <c r="Q42" s="299">
        <f t="shared" si="4"/>
        <v>0</v>
      </c>
      <c r="R42" s="299">
        <f t="shared" si="5"/>
        <v>-9.0538567199999989</v>
      </c>
      <c r="S42" s="300">
        <f t="shared" si="6"/>
        <v>-0.2525</v>
      </c>
      <c r="T42" s="244">
        <f t="shared" si="7"/>
        <v>0</v>
      </c>
      <c r="U42" s="244">
        <f t="shared" si="8"/>
        <v>0</v>
      </c>
    </row>
    <row r="43" spans="1:21" s="244" customFormat="1" x14ac:dyDescent="0.3">
      <c r="A43" s="137" t="s">
        <v>95</v>
      </c>
      <c r="B43" s="301">
        <v>37790.661063179999</v>
      </c>
      <c r="C43" s="301">
        <v>31065.78824446</v>
      </c>
      <c r="D43" s="301">
        <v>16745.897400689999</v>
      </c>
      <c r="E43" s="301">
        <v>9240.8566912000006</v>
      </c>
      <c r="F43" s="301">
        <v>7006.7484027699993</v>
      </c>
      <c r="G43" s="301">
        <v>1386.7563860000002</v>
      </c>
      <c r="H43" s="301">
        <v>39720.547126049998</v>
      </c>
      <c r="I43" s="301">
        <v>33119.235066929999</v>
      </c>
      <c r="J43" s="301">
        <v>16874.562254079996</v>
      </c>
      <c r="K43" s="301">
        <v>9353.2834418399998</v>
      </c>
      <c r="L43" s="301">
        <v>7084.4718158999995</v>
      </c>
      <c r="M43" s="301">
        <v>1075.4036280999999</v>
      </c>
      <c r="N43" s="301">
        <f t="shared" ref="N43:N45" si="9">H43-B43</f>
        <v>1929.8860628699986</v>
      </c>
      <c r="O43" s="301">
        <f t="shared" ref="O43:O45" si="10">I43-C43</f>
        <v>2053.4468224699995</v>
      </c>
      <c r="P43" s="301">
        <f t="shared" ref="P43:P45" si="11">J43-D43</f>
        <v>128.66485338999701</v>
      </c>
      <c r="Q43" s="301">
        <f t="shared" ref="Q43:Q45" si="12">K43-E43</f>
        <v>112.42675063999923</v>
      </c>
      <c r="R43" s="301">
        <f t="shared" ref="R43:R45" si="13">L43-F43</f>
        <v>77.723413130000154</v>
      </c>
      <c r="S43" s="302">
        <f t="shared" ref="S43:S45" si="14">M43-G43</f>
        <v>-311.35275790000037</v>
      </c>
      <c r="T43" s="244">
        <f t="shared" si="7"/>
        <v>100</v>
      </c>
      <c r="U43" s="244">
        <f t="shared" si="8"/>
        <v>100</v>
      </c>
    </row>
    <row r="44" spans="1:21" x14ac:dyDescent="0.3">
      <c r="A44" s="147" t="s">
        <v>61</v>
      </c>
      <c r="B44" s="34">
        <v>96.310550140000004</v>
      </c>
      <c r="C44" s="34">
        <v>10117.33513211</v>
      </c>
      <c r="D44" s="34">
        <v>888.46407928000008</v>
      </c>
      <c r="E44" s="34">
        <v>0</v>
      </c>
      <c r="F44" s="34">
        <v>840.11732365000012</v>
      </c>
      <c r="G44" s="34">
        <v>48.346755629999997</v>
      </c>
      <c r="H44" s="34">
        <v>12.60034598</v>
      </c>
      <c r="I44" s="34">
        <v>10285.850540939999</v>
      </c>
      <c r="J44" s="34">
        <v>638.59663176000015</v>
      </c>
      <c r="K44" s="34">
        <v>0</v>
      </c>
      <c r="L44" s="34">
        <v>587.61265073000004</v>
      </c>
      <c r="M44" s="34">
        <v>50.983981030000002</v>
      </c>
      <c r="N44" s="34">
        <f t="shared" si="9"/>
        <v>-83.710204160000004</v>
      </c>
      <c r="O44" s="34">
        <f t="shared" si="10"/>
        <v>168.51540882999871</v>
      </c>
      <c r="P44" s="34">
        <f t="shared" si="11"/>
        <v>-249.86744751999993</v>
      </c>
      <c r="Q44" s="34">
        <f t="shared" si="12"/>
        <v>0</v>
      </c>
      <c r="R44" s="34">
        <f t="shared" si="13"/>
        <v>-252.50467292000008</v>
      </c>
      <c r="S44" s="50">
        <f t="shared" si="14"/>
        <v>2.6372254000000055</v>
      </c>
    </row>
    <row r="45" spans="1:21" s="244" customFormat="1" ht="27" thickBot="1" x14ac:dyDescent="0.35">
      <c r="A45" s="76" t="s">
        <v>267</v>
      </c>
      <c r="B45" s="253">
        <v>-550.20785195999144</v>
      </c>
      <c r="C45" s="253">
        <v>506.41678218000033</v>
      </c>
      <c r="D45" s="253">
        <v>-1056.6246341399974</v>
      </c>
      <c r="E45" s="253">
        <v>-847.29648625000186</v>
      </c>
      <c r="F45" s="253">
        <v>-210.13564315999889</v>
      </c>
      <c r="G45" s="253">
        <v>0.80749526999974253</v>
      </c>
      <c r="H45" s="253">
        <v>-4674.5400475299984</v>
      </c>
      <c r="I45" s="253">
        <v>-3159.7846056999933</v>
      </c>
      <c r="J45" s="253">
        <v>-1514.755441829996</v>
      </c>
      <c r="K45" s="253">
        <v>-559.58467923999979</v>
      </c>
      <c r="L45" s="253">
        <v>-298.21012867999934</v>
      </c>
      <c r="M45" s="253">
        <v>-656.96063391000007</v>
      </c>
      <c r="N45" s="253">
        <f t="shared" si="9"/>
        <v>-4124.3321955700067</v>
      </c>
      <c r="O45" s="253">
        <f t="shared" si="10"/>
        <v>-3666.2013878799935</v>
      </c>
      <c r="P45" s="253">
        <f t="shared" si="11"/>
        <v>-458.13080768999862</v>
      </c>
      <c r="Q45" s="253">
        <f t="shared" si="12"/>
        <v>287.71180701000208</v>
      </c>
      <c r="R45" s="253">
        <f t="shared" si="13"/>
        <v>-88.074485520000451</v>
      </c>
      <c r="S45" s="254">
        <f t="shared" si="14"/>
        <v>-657.76812917999985</v>
      </c>
    </row>
    <row r="46" spans="1:21" ht="13.8" thickTop="1" x14ac:dyDescent="0.3"/>
  </sheetData>
  <autoFilter ref="A8:T45"/>
  <mergeCells count="21">
    <mergeCell ref="A2:S2"/>
    <mergeCell ref="P1:S1"/>
    <mergeCell ref="I6:I7"/>
    <mergeCell ref="J6:J7"/>
    <mergeCell ref="K6:M6"/>
    <mergeCell ref="C6:C7"/>
    <mergeCell ref="D6:D7"/>
    <mergeCell ref="E6:G6"/>
    <mergeCell ref="A4:A7"/>
    <mergeCell ref="H4:M4"/>
    <mergeCell ref="B4:G4"/>
    <mergeCell ref="N4:S4"/>
    <mergeCell ref="H5:H7"/>
    <mergeCell ref="I5:M5"/>
    <mergeCell ref="B5:B7"/>
    <mergeCell ref="C5:G5"/>
    <mergeCell ref="N5:N7"/>
    <mergeCell ref="O5:S5"/>
    <mergeCell ref="O6:O7"/>
    <mergeCell ref="P6:P7"/>
    <mergeCell ref="Q6:S6"/>
  </mergeCells>
  <printOptions horizontalCentered="1"/>
  <pageMargins left="0" right="0" top="0.74803149606299213" bottom="0.74803149606299213" header="0.31496062992125984" footer="0.31496062992125984"/>
  <pageSetup paperSize="9" scale="69" fitToHeight="100" orientation="landscape" r:id="rId1"/>
  <headerFooter>
    <oddFooter>&amp;CСтраница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workbookViewId="0">
      <pane xSplit="1" ySplit="8" topLeftCell="E9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ColWidth="9.109375" defaultRowHeight="13.2" x14ac:dyDescent="0.25"/>
  <cols>
    <col min="1" max="1" width="22.44140625" style="234" customWidth="1"/>
    <col min="2" max="3" width="12.33203125" style="243" bestFit="1" customWidth="1"/>
    <col min="4" max="4" width="6.109375" style="243" bestFit="1" customWidth="1"/>
    <col min="5" max="6" width="12.33203125" style="243" bestFit="1" customWidth="1"/>
    <col min="7" max="7" width="5.109375" style="243" bestFit="1" customWidth="1"/>
    <col min="8" max="8" width="11.6640625" style="243" customWidth="1"/>
    <col min="9" max="9" width="12" style="243" customWidth="1"/>
    <col min="10" max="10" width="11.33203125" style="243" customWidth="1"/>
    <col min="11" max="11" width="11.33203125" style="243" bestFit="1" customWidth="1"/>
    <col min="12" max="12" width="10.33203125" style="243" bestFit="1" customWidth="1"/>
    <col min="13" max="13" width="11.88671875" style="243" bestFit="1" customWidth="1"/>
    <col min="14" max="14" width="11.44140625" style="243" customWidth="1"/>
    <col min="15" max="15" width="10.44140625" style="243" customWidth="1"/>
    <col min="16" max="16384" width="9.109375" style="243"/>
  </cols>
  <sheetData>
    <row r="1" spans="1:15" s="234" customFormat="1" x14ac:dyDescent="0.25">
      <c r="N1" s="406" t="s">
        <v>268</v>
      </c>
      <c r="O1" s="406"/>
    </row>
    <row r="2" spans="1:15" s="234" customFormat="1" x14ac:dyDescent="0.25"/>
    <row r="3" spans="1:15" s="234" customFormat="1" ht="33" customHeight="1" x14ac:dyDescent="0.25">
      <c r="A3" s="407" t="s">
        <v>423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</row>
    <row r="4" spans="1:15" s="234" customFormat="1" ht="13.8" thickBot="1" x14ac:dyDescent="0.3">
      <c r="A4" s="235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372" t="s">
        <v>422</v>
      </c>
    </row>
    <row r="5" spans="1:15" s="234" customFormat="1" ht="13.8" thickTop="1" x14ac:dyDescent="0.25">
      <c r="A5" s="408" t="s">
        <v>190</v>
      </c>
      <c r="B5" s="394" t="s">
        <v>191</v>
      </c>
      <c r="C5" s="394"/>
      <c r="D5" s="394"/>
      <c r="E5" s="394" t="s">
        <v>192</v>
      </c>
      <c r="F5" s="394"/>
      <c r="G5" s="394"/>
      <c r="H5" s="394" t="s">
        <v>193</v>
      </c>
      <c r="I5" s="394"/>
      <c r="J5" s="394" t="s">
        <v>213</v>
      </c>
      <c r="K5" s="209" t="s">
        <v>8</v>
      </c>
      <c r="L5" s="394" t="s">
        <v>219</v>
      </c>
      <c r="M5" s="394"/>
      <c r="N5" s="394" t="s">
        <v>215</v>
      </c>
      <c r="O5" s="395" t="s">
        <v>220</v>
      </c>
    </row>
    <row r="6" spans="1:15" s="234" customFormat="1" ht="24" customHeight="1" x14ac:dyDescent="0.25">
      <c r="A6" s="409"/>
      <c r="B6" s="396"/>
      <c r="C6" s="396"/>
      <c r="D6" s="396"/>
      <c r="E6" s="396"/>
      <c r="F6" s="396"/>
      <c r="G6" s="396"/>
      <c r="H6" s="396"/>
      <c r="I6" s="396"/>
      <c r="J6" s="396"/>
      <c r="K6" s="396" t="s">
        <v>155</v>
      </c>
      <c r="L6" s="396"/>
      <c r="M6" s="396"/>
      <c r="N6" s="396"/>
      <c r="O6" s="397"/>
    </row>
    <row r="7" spans="1:15" s="234" customFormat="1" ht="26.4" x14ac:dyDescent="0.25">
      <c r="A7" s="409"/>
      <c r="B7" s="207" t="s">
        <v>194</v>
      </c>
      <c r="C7" s="207" t="s">
        <v>195</v>
      </c>
      <c r="D7" s="207" t="s">
        <v>153</v>
      </c>
      <c r="E7" s="207" t="s">
        <v>194</v>
      </c>
      <c r="F7" s="207" t="s">
        <v>195</v>
      </c>
      <c r="G7" s="207" t="s">
        <v>153</v>
      </c>
      <c r="H7" s="207" t="s">
        <v>194</v>
      </c>
      <c r="I7" s="207" t="s">
        <v>195</v>
      </c>
      <c r="J7" s="396"/>
      <c r="K7" s="396"/>
      <c r="L7" s="207" t="s">
        <v>196</v>
      </c>
      <c r="M7" s="207" t="s">
        <v>197</v>
      </c>
      <c r="N7" s="396"/>
      <c r="O7" s="397"/>
    </row>
    <row r="8" spans="1:15" s="238" customFormat="1" ht="10.199999999999999" x14ac:dyDescent="0.2">
      <c r="A8" s="236" t="s">
        <v>13</v>
      </c>
      <c r="B8" s="208" t="s">
        <v>14</v>
      </c>
      <c r="C8" s="208" t="s">
        <v>15</v>
      </c>
      <c r="D8" s="208" t="s">
        <v>198</v>
      </c>
      <c r="E8" s="208" t="s">
        <v>199</v>
      </c>
      <c r="F8" s="208" t="s">
        <v>211</v>
      </c>
      <c r="G8" s="208" t="s">
        <v>408</v>
      </c>
      <c r="H8" s="208" t="s">
        <v>17</v>
      </c>
      <c r="I8" s="208" t="s">
        <v>18</v>
      </c>
      <c r="J8" s="208" t="s">
        <v>19</v>
      </c>
      <c r="K8" s="208" t="s">
        <v>200</v>
      </c>
      <c r="L8" s="208" t="s">
        <v>201</v>
      </c>
      <c r="M8" s="208" t="s">
        <v>202</v>
      </c>
      <c r="N8" s="208" t="s">
        <v>409</v>
      </c>
      <c r="O8" s="237" t="s">
        <v>410</v>
      </c>
    </row>
    <row r="9" spans="1:15" x14ac:dyDescent="0.25">
      <c r="A9" s="239" t="s">
        <v>163</v>
      </c>
      <c r="B9" s="240">
        <f>Черн!AD7</f>
        <v>1406971.92775</v>
      </c>
      <c r="C9" s="240">
        <f>Черн!AE7</f>
        <v>686411.25368999992</v>
      </c>
      <c r="D9" s="240">
        <f>C9/B9%</f>
        <v>48.786421402713728</v>
      </c>
      <c r="E9" s="240">
        <f>Черн!AK7</f>
        <v>1506294.5138500002</v>
      </c>
      <c r="F9" s="240">
        <f>Черн!AL7</f>
        <v>712203.91893000004</v>
      </c>
      <c r="G9" s="240">
        <f>F9/E9%</f>
        <v>47.281850420449892</v>
      </c>
      <c r="H9" s="240">
        <f>Черн!CD7</f>
        <v>-99322.58610000019</v>
      </c>
      <c r="I9" s="240">
        <f>Черн!CE7</f>
        <v>-25792.665240000119</v>
      </c>
      <c r="J9" s="240">
        <f>Черн!BY7</f>
        <v>46243.348549999995</v>
      </c>
      <c r="K9" s="240">
        <f>Черн!CA7</f>
        <v>30872.237739999997</v>
      </c>
      <c r="L9" s="240">
        <f>Черн!CB7</f>
        <v>2436.7483199999988</v>
      </c>
      <c r="M9" s="240">
        <f>Черн!CC7</f>
        <v>-17886.397470000004</v>
      </c>
      <c r="N9" s="240">
        <f>Черн!CG7</f>
        <v>44300</v>
      </c>
      <c r="O9" s="242">
        <f>Черн!CH7</f>
        <v>5300</v>
      </c>
    </row>
    <row r="10" spans="1:15" x14ac:dyDescent="0.25">
      <c r="A10" s="239" t="s">
        <v>164</v>
      </c>
      <c r="B10" s="240">
        <f>Черн!AD8</f>
        <v>609062.53118000005</v>
      </c>
      <c r="C10" s="240">
        <f>Черн!AE8</f>
        <v>289084.82077999995</v>
      </c>
      <c r="D10" s="240">
        <f t="shared" ref="D10:D35" si="0">C10/B10%</f>
        <v>47.463898365234506</v>
      </c>
      <c r="E10" s="240">
        <f>Черн!AK8</f>
        <v>673562.59833999991</v>
      </c>
      <c r="F10" s="240">
        <f>Черн!AL8</f>
        <v>329077.05453999998</v>
      </c>
      <c r="G10" s="240">
        <f t="shared" ref="G10:G35" si="1">F10/E10%</f>
        <v>48.8561947101892</v>
      </c>
      <c r="H10" s="240">
        <f>Черн!CD8</f>
        <v>-64500.06715999986</v>
      </c>
      <c r="I10" s="240">
        <f>Черн!CE8</f>
        <v>-39992.233760000032</v>
      </c>
      <c r="J10" s="240">
        <f>Черн!BY8</f>
        <v>32756.471969999999</v>
      </c>
      <c r="K10" s="240">
        <f>Черн!CA8</f>
        <v>3123.5375299999996</v>
      </c>
      <c r="L10" s="240">
        <f>Черн!CB8</f>
        <v>-34178.150959999999</v>
      </c>
      <c r="M10" s="240">
        <f>Черн!CC8</f>
        <v>-48551.053740000003</v>
      </c>
      <c r="N10" s="240">
        <f>Черн!CG8</f>
        <v>0</v>
      </c>
      <c r="O10" s="242">
        <f>Черн!CH8</f>
        <v>0</v>
      </c>
    </row>
    <row r="11" spans="1:15" x14ac:dyDescent="0.25">
      <c r="A11" s="239" t="s">
        <v>165</v>
      </c>
      <c r="B11" s="240">
        <f>Черн!AD9</f>
        <v>393516.75535000005</v>
      </c>
      <c r="C11" s="240">
        <f>Черн!AE9</f>
        <v>220379.32932000002</v>
      </c>
      <c r="D11" s="241">
        <f t="shared" si="0"/>
        <v>56.002527547776495</v>
      </c>
      <c r="E11" s="240">
        <f>Черн!AK9</f>
        <v>404956.62818</v>
      </c>
      <c r="F11" s="240">
        <f>Черн!AL9</f>
        <v>223069.08052999998</v>
      </c>
      <c r="G11" s="240">
        <f t="shared" si="1"/>
        <v>55.08468438522447</v>
      </c>
      <c r="H11" s="240">
        <f>Черн!CD9</f>
        <v>-11439.872829999949</v>
      </c>
      <c r="I11" s="240">
        <f>Черн!CE9</f>
        <v>-2689.7512099999585</v>
      </c>
      <c r="J11" s="240">
        <f>Черн!BY9</f>
        <v>18673.356489999998</v>
      </c>
      <c r="K11" s="240">
        <f>Черн!CA9</f>
        <v>1983.04386</v>
      </c>
      <c r="L11" s="240">
        <f>Черн!CB9</f>
        <v>7945.7430799999984</v>
      </c>
      <c r="M11" s="240">
        <f>Черн!CC9</f>
        <v>-2649.14714</v>
      </c>
      <c r="N11" s="240">
        <f>Черн!CG9</f>
        <v>0</v>
      </c>
      <c r="O11" s="242">
        <f>Черн!CH9</f>
        <v>0</v>
      </c>
    </row>
    <row r="12" spans="1:15" x14ac:dyDescent="0.25">
      <c r="A12" s="239" t="s">
        <v>166</v>
      </c>
      <c r="B12" s="240">
        <f>Черн!AD10</f>
        <v>571325.34164999996</v>
      </c>
      <c r="C12" s="240">
        <f>Черн!AE10</f>
        <v>328363.15473000001</v>
      </c>
      <c r="D12" s="241">
        <f t="shared" si="0"/>
        <v>57.473934865497142</v>
      </c>
      <c r="E12" s="240">
        <f>Черн!AK10</f>
        <v>577107.13685000001</v>
      </c>
      <c r="F12" s="240">
        <f>Черн!AL10</f>
        <v>338044.19691</v>
      </c>
      <c r="G12" s="241">
        <f t="shared" si="1"/>
        <v>58.575639655945452</v>
      </c>
      <c r="H12" s="240">
        <f>Черн!CD10</f>
        <v>-5781.7952000000514</v>
      </c>
      <c r="I12" s="240">
        <f>Черн!CE10</f>
        <v>-9681.0421799999895</v>
      </c>
      <c r="J12" s="240">
        <f>Черн!BY10</f>
        <v>39218.488530000002</v>
      </c>
      <c r="K12" s="240">
        <f>Черн!CA10</f>
        <v>1523.92821</v>
      </c>
      <c r="L12" s="240">
        <f>Черн!CB10</f>
        <v>32636.246550000003</v>
      </c>
      <c r="M12" s="240">
        <f>Черн!CC10</f>
        <v>791.93702000000008</v>
      </c>
      <c r="N12" s="240">
        <f>Черн!CG10</f>
        <v>0</v>
      </c>
      <c r="O12" s="242">
        <f>Черн!CH10</f>
        <v>0</v>
      </c>
    </row>
    <row r="13" spans="1:15" x14ac:dyDescent="0.25">
      <c r="A13" s="239" t="s">
        <v>167</v>
      </c>
      <c r="B13" s="240">
        <f>Черн!AD11</f>
        <v>634342.64504000009</v>
      </c>
      <c r="C13" s="240">
        <f>Черн!AE11</f>
        <v>294615.76009</v>
      </c>
      <c r="D13" s="240">
        <f t="shared" si="0"/>
        <v>46.444262007865206</v>
      </c>
      <c r="E13" s="240">
        <f>Черн!AK11</f>
        <v>666290.88522000005</v>
      </c>
      <c r="F13" s="240">
        <f>Черн!AL11</f>
        <v>325593.70146999997</v>
      </c>
      <c r="G13" s="240">
        <f t="shared" si="1"/>
        <v>48.866599962941628</v>
      </c>
      <c r="H13" s="240">
        <f>Черн!CD11</f>
        <v>-31948.240179999964</v>
      </c>
      <c r="I13" s="240">
        <f>Черн!CE11</f>
        <v>-30977.941379999975</v>
      </c>
      <c r="J13" s="240">
        <f>Черн!BY11</f>
        <v>8231.0165899999993</v>
      </c>
      <c r="K13" s="240">
        <f>Черн!CA11</f>
        <v>1077.23658</v>
      </c>
      <c r="L13" s="240">
        <f>Черн!CB11</f>
        <v>-24816.29075</v>
      </c>
      <c r="M13" s="240">
        <f>Черн!CC11</f>
        <v>-22774.427009999999</v>
      </c>
      <c r="N13" s="240">
        <f>Черн!CG11</f>
        <v>2300</v>
      </c>
      <c r="O13" s="242">
        <f>Черн!CH11</f>
        <v>-1700</v>
      </c>
    </row>
    <row r="14" spans="1:15" x14ac:dyDescent="0.25">
      <c r="A14" s="239" t="s">
        <v>168</v>
      </c>
      <c r="B14" s="240">
        <f>Черн!AD12</f>
        <v>468941.07255000004</v>
      </c>
      <c r="C14" s="240">
        <f>Черн!AE12</f>
        <v>103494.52712999994</v>
      </c>
      <c r="D14" s="241">
        <f t="shared" si="0"/>
        <v>22.069836315940318</v>
      </c>
      <c r="E14" s="240">
        <f>Черн!AK12</f>
        <v>846759.40326999989</v>
      </c>
      <c r="F14" s="240">
        <f>Черн!AL12</f>
        <v>454735.09555999993</v>
      </c>
      <c r="G14" s="240">
        <f t="shared" si="1"/>
        <v>53.702987389796</v>
      </c>
      <c r="H14" s="240">
        <f>Черн!CD12</f>
        <v>-377818.33071999985</v>
      </c>
      <c r="I14" s="240">
        <f>Черн!CE12</f>
        <v>-351240.56842999998</v>
      </c>
      <c r="J14" s="240">
        <f>Черн!BY12</f>
        <v>34011.993350000004</v>
      </c>
      <c r="K14" s="240">
        <f>Черн!CA12</f>
        <v>2104.1358799999998</v>
      </c>
      <c r="L14" s="240">
        <f>Черн!CB12</f>
        <v>-347967.46216</v>
      </c>
      <c r="M14" s="240">
        <f>Черн!CC12</f>
        <v>-359775.34353000001</v>
      </c>
      <c r="N14" s="240">
        <f>Черн!CG12</f>
        <v>10950</v>
      </c>
      <c r="O14" s="242">
        <f>Черн!CH12</f>
        <v>0</v>
      </c>
    </row>
    <row r="15" spans="1:15" x14ac:dyDescent="0.25">
      <c r="A15" s="239" t="s">
        <v>169</v>
      </c>
      <c r="B15" s="240">
        <f>Черн!AD13</f>
        <v>559774.21240000008</v>
      </c>
      <c r="C15" s="240">
        <f>Черн!AE13</f>
        <v>267188.57802999992</v>
      </c>
      <c r="D15" s="240">
        <f t="shared" si="0"/>
        <v>47.731491038939453</v>
      </c>
      <c r="E15" s="240">
        <f>Черн!AK13</f>
        <v>591027.29820999992</v>
      </c>
      <c r="F15" s="240">
        <f>Черн!AL13</f>
        <v>288238.50651000004</v>
      </c>
      <c r="G15" s="240">
        <f t="shared" si="1"/>
        <v>48.769068261815718</v>
      </c>
      <c r="H15" s="240">
        <f>Черн!CD13</f>
        <v>-31253.085809999844</v>
      </c>
      <c r="I15" s="240">
        <f>Черн!CE13</f>
        <v>-21049.928480000119</v>
      </c>
      <c r="J15" s="240">
        <f>Черн!BY13</f>
        <v>15512.315720000001</v>
      </c>
      <c r="K15" s="240">
        <f>Черн!CA13</f>
        <v>909.80855000000008</v>
      </c>
      <c r="L15" s="240">
        <f>Черн!CB13</f>
        <v>-225.41024000000107</v>
      </c>
      <c r="M15" s="240">
        <f>Черн!CC13</f>
        <v>-8527.7425900000017</v>
      </c>
      <c r="N15" s="240">
        <f>Черн!CG13</f>
        <v>33514.9</v>
      </c>
      <c r="O15" s="242">
        <f>Черн!CH13</f>
        <v>2760.8301700000047</v>
      </c>
    </row>
    <row r="16" spans="1:15" x14ac:dyDescent="0.25">
      <c r="A16" s="239" t="s">
        <v>170</v>
      </c>
      <c r="B16" s="240">
        <f>Черн!AD14</f>
        <v>493605.87528999988</v>
      </c>
      <c r="C16" s="240">
        <f>Черн!AE14</f>
        <v>252260.37641999999</v>
      </c>
      <c r="D16" s="240">
        <f t="shared" si="0"/>
        <v>51.105626786106171</v>
      </c>
      <c r="E16" s="240">
        <f>Черн!AK14</f>
        <v>501544.84563999996</v>
      </c>
      <c r="F16" s="240">
        <f>Черн!AL14</f>
        <v>252349.76153000002</v>
      </c>
      <c r="G16" s="240">
        <f t="shared" si="1"/>
        <v>50.314496046308136</v>
      </c>
      <c r="H16" s="240">
        <f>Черн!CD14</f>
        <v>-7938.970350000076</v>
      </c>
      <c r="I16" s="240">
        <f>Черн!CE14</f>
        <v>-89.385110000032</v>
      </c>
      <c r="J16" s="240">
        <f>Черн!BY14</f>
        <v>22092.286219999998</v>
      </c>
      <c r="K16" s="240">
        <f>Черн!CA14</f>
        <v>3316.2025199999998</v>
      </c>
      <c r="L16" s="240">
        <f>Черн!CB14</f>
        <v>7570.2353799999983</v>
      </c>
      <c r="M16" s="240">
        <f>Черн!CC14</f>
        <v>3297.6535199999998</v>
      </c>
      <c r="N16" s="240">
        <f>Черн!CG14</f>
        <v>0</v>
      </c>
      <c r="O16" s="242">
        <f>Черн!CH14</f>
        <v>0</v>
      </c>
    </row>
    <row r="17" spans="1:15" x14ac:dyDescent="0.25">
      <c r="A17" s="239" t="s">
        <v>171</v>
      </c>
      <c r="B17" s="240">
        <f>Черн!AD15</f>
        <v>500588.06842999998</v>
      </c>
      <c r="C17" s="240">
        <f>Черн!AE15</f>
        <v>259062.64027999999</v>
      </c>
      <c r="D17" s="240">
        <f t="shared" si="0"/>
        <v>51.751661019908255</v>
      </c>
      <c r="E17" s="240">
        <f>Черн!AK15</f>
        <v>641072.93318000017</v>
      </c>
      <c r="F17" s="240">
        <f>Черн!AL15</f>
        <v>348955.96569000004</v>
      </c>
      <c r="G17" s="240">
        <f t="shared" si="1"/>
        <v>54.433114803182669</v>
      </c>
      <c r="H17" s="240">
        <f>Черн!CD15</f>
        <v>-140484.86475000018</v>
      </c>
      <c r="I17" s="240">
        <f>Черн!CE15</f>
        <v>-89893.325410000049</v>
      </c>
      <c r="J17" s="240">
        <f>Черн!BY15</f>
        <v>52649.873899999999</v>
      </c>
      <c r="K17" s="240">
        <f>Черн!CA15</f>
        <v>5403.6859299999996</v>
      </c>
      <c r="L17" s="240">
        <f>Черн!CB15</f>
        <v>-79490.226559999981</v>
      </c>
      <c r="M17" s="240">
        <f>Черн!CC15</f>
        <v>-13078.019670000001</v>
      </c>
      <c r="N17" s="240">
        <f>Черн!CG15</f>
        <v>0</v>
      </c>
      <c r="O17" s="242">
        <f>Черн!CH15</f>
        <v>-16144.1</v>
      </c>
    </row>
    <row r="18" spans="1:15" x14ac:dyDescent="0.25">
      <c r="A18" s="239" t="s">
        <v>172</v>
      </c>
      <c r="B18" s="240">
        <f>Черн!AD16</f>
        <v>352587.93049999996</v>
      </c>
      <c r="C18" s="240">
        <f>Черн!AE16</f>
        <v>204619.19582999998</v>
      </c>
      <c r="D18" s="241">
        <f t="shared" si="0"/>
        <v>58.03352245774051</v>
      </c>
      <c r="E18" s="240">
        <f>Черн!AK16</f>
        <v>363187.20753999997</v>
      </c>
      <c r="F18" s="240">
        <f>Черн!AL16</f>
        <v>214396.55108999999</v>
      </c>
      <c r="G18" s="241">
        <f t="shared" si="1"/>
        <v>59.031966610879934</v>
      </c>
      <c r="H18" s="240">
        <f>Черн!CD16</f>
        <v>-10599.277040000015</v>
      </c>
      <c r="I18" s="240">
        <f>Черн!CE16</f>
        <v>-9777.3552600000112</v>
      </c>
      <c r="J18" s="240">
        <f>Черн!BY16</f>
        <v>13198.2539</v>
      </c>
      <c r="K18" s="240">
        <f>Черн!CA16</f>
        <v>4349.1116900000006</v>
      </c>
      <c r="L18" s="240">
        <f>Черн!CB16</f>
        <v>4898.9768599999989</v>
      </c>
      <c r="M18" s="240">
        <f>Черн!CC16</f>
        <v>-1298.5688099999998</v>
      </c>
      <c r="N18" s="240">
        <f>Черн!CG16</f>
        <v>290</v>
      </c>
      <c r="O18" s="242">
        <f>Черн!CH16</f>
        <v>-1710</v>
      </c>
    </row>
    <row r="19" spans="1:15" x14ac:dyDescent="0.25">
      <c r="A19" s="239" t="s">
        <v>173</v>
      </c>
      <c r="B19" s="240">
        <f>Черн!AD17</f>
        <v>522292.90035000001</v>
      </c>
      <c r="C19" s="240">
        <f>Черн!AE17</f>
        <v>275126.91099999996</v>
      </c>
      <c r="D19" s="240">
        <f t="shared" si="0"/>
        <v>52.676747245775566</v>
      </c>
      <c r="E19" s="240">
        <f>Черн!AK17</f>
        <v>529736.27584999998</v>
      </c>
      <c r="F19" s="240">
        <f>Черн!AL17</f>
        <v>278502.77377999993</v>
      </c>
      <c r="G19" s="240">
        <f t="shared" si="1"/>
        <v>52.573853533651665</v>
      </c>
      <c r="H19" s="240">
        <f>Черн!CD17</f>
        <v>-7443.3754999999655</v>
      </c>
      <c r="I19" s="240">
        <f>Черн!CE17</f>
        <v>-3375.8627799999667</v>
      </c>
      <c r="J19" s="240">
        <f>Черн!BY17</f>
        <v>17261.074479999999</v>
      </c>
      <c r="K19" s="240">
        <f>Черн!CA17</f>
        <v>1454.05394</v>
      </c>
      <c r="L19" s="240">
        <f>Черн!CB17</f>
        <v>4065.4653999999991</v>
      </c>
      <c r="M19" s="240">
        <f>Черн!CC17</f>
        <v>18.577389999999923</v>
      </c>
      <c r="N19" s="240">
        <f>Черн!CG17</f>
        <v>11000</v>
      </c>
      <c r="O19" s="242">
        <f>Черн!CH17</f>
        <v>0</v>
      </c>
    </row>
    <row r="20" spans="1:15" x14ac:dyDescent="0.25">
      <c r="A20" s="239" t="s">
        <v>174</v>
      </c>
      <c r="B20" s="240">
        <f>Черн!AD18</f>
        <v>725760.54579</v>
      </c>
      <c r="C20" s="240">
        <f>Черн!AE18</f>
        <v>307278.38050999999</v>
      </c>
      <c r="D20" s="240">
        <f t="shared" si="0"/>
        <v>42.338810271853973</v>
      </c>
      <c r="E20" s="240">
        <f>Черн!AK18</f>
        <v>808700.61326999997</v>
      </c>
      <c r="F20" s="240">
        <f>Черн!AL18</f>
        <v>370196.54367999994</v>
      </c>
      <c r="G20" s="240">
        <f t="shared" si="1"/>
        <v>45.776711134557139</v>
      </c>
      <c r="H20" s="240">
        <f>Черн!CD18</f>
        <v>-82940.067479999969</v>
      </c>
      <c r="I20" s="240">
        <f>Черн!CE18</f>
        <v>-62918.163169999956</v>
      </c>
      <c r="J20" s="240">
        <f>Черн!BY18</f>
        <v>39944.359380000002</v>
      </c>
      <c r="K20" s="240">
        <f>Черн!CA18</f>
        <v>5384.8612599999997</v>
      </c>
      <c r="L20" s="240">
        <f>Черн!CB18</f>
        <v>-16897.848659999996</v>
      </c>
      <c r="M20" s="240">
        <f>Черн!CC18</f>
        <v>-48748.458770000005</v>
      </c>
      <c r="N20" s="240">
        <f>Черн!CG18</f>
        <v>115000</v>
      </c>
      <c r="O20" s="242">
        <f>Черн!CH18</f>
        <v>35000</v>
      </c>
    </row>
    <row r="21" spans="1:15" x14ac:dyDescent="0.25">
      <c r="A21" s="239" t="s">
        <v>175</v>
      </c>
      <c r="B21" s="240">
        <f>Черн!AD19</f>
        <v>758440.59235000005</v>
      </c>
      <c r="C21" s="240">
        <f>Черн!AE19</f>
        <v>307577.09951000003</v>
      </c>
      <c r="D21" s="241">
        <f t="shared" si="0"/>
        <v>40.55388155807745</v>
      </c>
      <c r="E21" s="240">
        <f>Черн!AK19</f>
        <v>936149.91045999993</v>
      </c>
      <c r="F21" s="240">
        <f>Черн!AL19</f>
        <v>456094.99317000003</v>
      </c>
      <c r="G21" s="240">
        <f t="shared" si="1"/>
        <v>48.720294482097074</v>
      </c>
      <c r="H21" s="240">
        <f>Черн!CD19</f>
        <v>-177709.31810999988</v>
      </c>
      <c r="I21" s="240">
        <f>Черн!CE19</f>
        <v>-148517.89366</v>
      </c>
      <c r="J21" s="240">
        <f>Черн!BY19</f>
        <v>39537.02001</v>
      </c>
      <c r="K21" s="240">
        <f>Черн!CA19</f>
        <v>8401.9004000000004</v>
      </c>
      <c r="L21" s="240">
        <f>Черн!CB19</f>
        <v>-125999.08160999999</v>
      </c>
      <c r="M21" s="240">
        <f>Черн!CC19</f>
        <v>-144909.22402999998</v>
      </c>
      <c r="N21" s="240">
        <f>Черн!CG19</f>
        <v>0</v>
      </c>
      <c r="O21" s="242">
        <f>Черн!CH19</f>
        <v>0</v>
      </c>
    </row>
    <row r="22" spans="1:15" x14ac:dyDescent="0.25">
      <c r="A22" s="239" t="s">
        <v>176</v>
      </c>
      <c r="B22" s="240">
        <f>Черн!AD20</f>
        <v>1016085.9617000001</v>
      </c>
      <c r="C22" s="240">
        <f>Черн!AE20</f>
        <v>523671.02289999992</v>
      </c>
      <c r="D22" s="240">
        <f t="shared" si="0"/>
        <v>51.538062982767002</v>
      </c>
      <c r="E22" s="240">
        <f>Черн!AK20</f>
        <v>1027355.82076</v>
      </c>
      <c r="F22" s="240">
        <f>Черн!AL20</f>
        <v>523243.98596999998</v>
      </c>
      <c r="G22" s="240">
        <f t="shared" si="1"/>
        <v>50.931135580944421</v>
      </c>
      <c r="H22" s="240">
        <f>Черн!CD20</f>
        <v>-11269.85905999993</v>
      </c>
      <c r="I22" s="240">
        <f>Черн!CE20</f>
        <v>427.03692999994382</v>
      </c>
      <c r="J22" s="240">
        <f>Черн!BY20</f>
        <v>66961.325880000004</v>
      </c>
      <c r="K22" s="240">
        <f>Черн!CA20</f>
        <v>1785.6962699999999</v>
      </c>
      <c r="L22" s="240">
        <f>Черн!CB20</f>
        <v>38402.182490000007</v>
      </c>
      <c r="M22" s="240">
        <f>Черн!CC20</f>
        <v>-3354.4686900000002</v>
      </c>
      <c r="N22" s="240">
        <f>Черн!CG20</f>
        <v>0</v>
      </c>
      <c r="O22" s="242">
        <f>Черн!CH20</f>
        <v>0</v>
      </c>
    </row>
    <row r="23" spans="1:15" x14ac:dyDescent="0.25">
      <c r="A23" s="239" t="s">
        <v>177</v>
      </c>
      <c r="B23" s="240">
        <f>Черн!AD21</f>
        <v>1184265.43019</v>
      </c>
      <c r="C23" s="240">
        <f>Черн!AE21</f>
        <v>559891.28127999988</v>
      </c>
      <c r="D23" s="240">
        <f t="shared" si="0"/>
        <v>47.277516256653087</v>
      </c>
      <c r="E23" s="240">
        <f>Черн!AK21</f>
        <v>1219694.1606600001</v>
      </c>
      <c r="F23" s="240">
        <f>Черн!AL21</f>
        <v>569570.79894999997</v>
      </c>
      <c r="G23" s="240">
        <f t="shared" si="1"/>
        <v>46.697837648234227</v>
      </c>
      <c r="H23" s="240">
        <f>Черн!CD21</f>
        <v>-35428.730470000068</v>
      </c>
      <c r="I23" s="240">
        <f>Черн!CE21</f>
        <v>-9679.5176700000884</v>
      </c>
      <c r="J23" s="240">
        <f>Черн!BY21</f>
        <v>91579.567859999996</v>
      </c>
      <c r="K23" s="240">
        <f>Черн!CA21</f>
        <v>2288.8700299999996</v>
      </c>
      <c r="L23" s="240">
        <f>Черн!CB21</f>
        <v>71623.773669999995</v>
      </c>
      <c r="M23" s="240">
        <f>Черн!CC21</f>
        <v>-5228.9341400000012</v>
      </c>
      <c r="N23" s="240">
        <f>Черн!CG21</f>
        <v>81000</v>
      </c>
      <c r="O23" s="242">
        <f>Черн!CH21</f>
        <v>-16000</v>
      </c>
    </row>
    <row r="24" spans="1:15" x14ac:dyDescent="0.25">
      <c r="A24" s="239" t="s">
        <v>178</v>
      </c>
      <c r="B24" s="240">
        <f>Черн!AD22</f>
        <v>1176816.9655900002</v>
      </c>
      <c r="C24" s="240">
        <f>Черн!AE22</f>
        <v>507522.99712000007</v>
      </c>
      <c r="D24" s="240">
        <f t="shared" si="0"/>
        <v>43.126757342893349</v>
      </c>
      <c r="E24" s="240">
        <f>Черн!AK22</f>
        <v>1258334.5431299999</v>
      </c>
      <c r="F24" s="240">
        <f>Черн!AL22</f>
        <v>513784.85331000003</v>
      </c>
      <c r="G24" s="241">
        <f t="shared" si="1"/>
        <v>40.830545113384872</v>
      </c>
      <c r="H24" s="240">
        <f>Черн!CD22</f>
        <v>-81517.577539999736</v>
      </c>
      <c r="I24" s="240">
        <f>Черн!CE22</f>
        <v>-6261.8561899999622</v>
      </c>
      <c r="J24" s="240">
        <f>Черн!BY22</f>
        <v>90964.290959999998</v>
      </c>
      <c r="K24" s="240">
        <f>Черн!CA22</f>
        <v>2097.7275299999997</v>
      </c>
      <c r="L24" s="240">
        <f>Черн!CB22</f>
        <v>-11646.24106</v>
      </c>
      <c r="M24" s="240">
        <f>Черн!CC22</f>
        <v>-2366.5180999999998</v>
      </c>
      <c r="N24" s="240">
        <f>Черн!CG22</f>
        <v>0</v>
      </c>
      <c r="O24" s="242">
        <f>Черн!CH22</f>
        <v>-20000</v>
      </c>
    </row>
    <row r="25" spans="1:15" x14ac:dyDescent="0.25">
      <c r="A25" s="239" t="s">
        <v>179</v>
      </c>
      <c r="B25" s="240">
        <f>Черн!AD23</f>
        <v>994050.19994000008</v>
      </c>
      <c r="C25" s="240">
        <f>Черн!AE23</f>
        <v>532131.01610999997</v>
      </c>
      <c r="D25" s="240">
        <f t="shared" si="0"/>
        <v>53.531603951401941</v>
      </c>
      <c r="E25" s="240">
        <f>Черн!AK23</f>
        <v>1036538.7802599998</v>
      </c>
      <c r="F25" s="240">
        <f>Черн!AL23</f>
        <v>575476.51561999996</v>
      </c>
      <c r="G25" s="240">
        <f t="shared" si="1"/>
        <v>55.519053081221962</v>
      </c>
      <c r="H25" s="240">
        <f>Черн!CD23</f>
        <v>-42488.580319999717</v>
      </c>
      <c r="I25" s="240">
        <f>Черн!CE23</f>
        <v>-43345.499509999994</v>
      </c>
      <c r="J25" s="240">
        <f>Черн!BY23</f>
        <v>21525.943090000001</v>
      </c>
      <c r="K25" s="240">
        <f>Черн!CA23</f>
        <v>4781.7918300000001</v>
      </c>
      <c r="L25" s="240">
        <f>Черн!CB23</f>
        <v>-27537.318059999998</v>
      </c>
      <c r="M25" s="240">
        <f>Черн!CC23</f>
        <v>-21310.477810000004</v>
      </c>
      <c r="N25" s="240">
        <f>Черн!CG23</f>
        <v>13800</v>
      </c>
      <c r="O25" s="242">
        <f>Черн!CH23</f>
        <v>-13800</v>
      </c>
    </row>
    <row r="26" spans="1:15" x14ac:dyDescent="0.25">
      <c r="A26" s="239" t="s">
        <v>180</v>
      </c>
      <c r="B26" s="240">
        <f>Черн!AD24</f>
        <v>942638.60161000001</v>
      </c>
      <c r="C26" s="240">
        <f>Черн!AE24</f>
        <v>450217.06648000004</v>
      </c>
      <c r="D26" s="240">
        <f t="shared" si="0"/>
        <v>47.761365353704178</v>
      </c>
      <c r="E26" s="240">
        <f>Черн!AK24</f>
        <v>1060068.7086499999</v>
      </c>
      <c r="F26" s="240">
        <f>Черн!AL24</f>
        <v>540320.72062000004</v>
      </c>
      <c r="G26" s="240">
        <f t="shared" si="1"/>
        <v>50.970349017102841</v>
      </c>
      <c r="H26" s="240">
        <f>Черн!CD24</f>
        <v>-117430.10703999992</v>
      </c>
      <c r="I26" s="240">
        <f>Черн!CE24</f>
        <v>-90103.654139999999</v>
      </c>
      <c r="J26" s="240">
        <f>Черн!BY24</f>
        <v>106164.75070999999</v>
      </c>
      <c r="K26" s="240">
        <f>Черн!CA24</f>
        <v>8915.9822600000007</v>
      </c>
      <c r="L26" s="240">
        <f>Черн!CB24</f>
        <v>-35153.774440000008</v>
      </c>
      <c r="M26" s="240">
        <f>Черн!CC24</f>
        <v>-95584.943169999999</v>
      </c>
      <c r="N26" s="240">
        <f>Черн!CG24</f>
        <v>0</v>
      </c>
      <c r="O26" s="242">
        <f>Черн!CH24</f>
        <v>0</v>
      </c>
    </row>
    <row r="27" spans="1:15" x14ac:dyDescent="0.25">
      <c r="A27" s="239" t="s">
        <v>181</v>
      </c>
      <c r="B27" s="240">
        <f>Черн!AD25</f>
        <v>389330.80131000001</v>
      </c>
      <c r="C27" s="240">
        <f>Черн!AE25</f>
        <v>197212.63844000001</v>
      </c>
      <c r="D27" s="240">
        <f t="shared" si="0"/>
        <v>50.654260535367143</v>
      </c>
      <c r="E27" s="240">
        <f>Черн!AK25</f>
        <v>398755.70883000008</v>
      </c>
      <c r="F27" s="240">
        <f>Черн!AL25</f>
        <v>207423.79438000001</v>
      </c>
      <c r="G27" s="240">
        <f t="shared" si="1"/>
        <v>52.017761698912793</v>
      </c>
      <c r="H27" s="240">
        <f>Черн!CD25</f>
        <v>-9424.9075200000661</v>
      </c>
      <c r="I27" s="240">
        <f>Черн!CE25</f>
        <v>-10211.155939999997</v>
      </c>
      <c r="J27" s="240">
        <f>Черн!BY25</f>
        <v>52309.571189999995</v>
      </c>
      <c r="K27" s="240">
        <f>Черн!CA25</f>
        <v>585.74239999999998</v>
      </c>
      <c r="L27" s="240">
        <f>Черн!CB25</f>
        <v>18126.158689999997</v>
      </c>
      <c r="M27" s="240">
        <f>Черн!CC25</f>
        <v>-1520.4076</v>
      </c>
      <c r="N27" s="240">
        <f>Черн!CG25</f>
        <v>0</v>
      </c>
      <c r="O27" s="242">
        <f>Черн!CH25</f>
        <v>0</v>
      </c>
    </row>
    <row r="28" spans="1:15" x14ac:dyDescent="0.25">
      <c r="A28" s="239" t="s">
        <v>182</v>
      </c>
      <c r="B28" s="240">
        <f>Черн!AD26</f>
        <v>7779319.9404100003</v>
      </c>
      <c r="C28" s="240">
        <f>Черн!AE26</f>
        <v>3847975.5858</v>
      </c>
      <c r="D28" s="240">
        <f t="shared" si="0"/>
        <v>49.464164159279932</v>
      </c>
      <c r="E28" s="240">
        <f>Черн!AK26</f>
        <v>8470753.7158700004</v>
      </c>
      <c r="F28" s="240">
        <f>Черн!AL26</f>
        <v>4077184.16096</v>
      </c>
      <c r="G28" s="240">
        <f t="shared" si="1"/>
        <v>48.132483810990458</v>
      </c>
      <c r="H28" s="240">
        <f>Черн!CD26</f>
        <v>-691433.77546000015</v>
      </c>
      <c r="I28" s="240">
        <f>Черн!CE26</f>
        <v>-229208.57516000001</v>
      </c>
      <c r="J28" s="240">
        <f>Черн!BY26</f>
        <v>118742.75558</v>
      </c>
      <c r="K28" s="240">
        <f>Черн!CA26</f>
        <v>12674.26786</v>
      </c>
      <c r="L28" s="240">
        <f>Черн!CB26</f>
        <v>86599.424839999992</v>
      </c>
      <c r="M28" s="240">
        <f>Черн!CC26</f>
        <v>-264953.75694999995</v>
      </c>
      <c r="N28" s="240">
        <f>Черн!CG26</f>
        <v>1303808</v>
      </c>
      <c r="O28" s="242">
        <f>Черн!CH26</f>
        <v>13808</v>
      </c>
    </row>
    <row r="29" spans="1:15" x14ac:dyDescent="0.25">
      <c r="A29" s="239" t="s">
        <v>183</v>
      </c>
      <c r="B29" s="240">
        <f>Черн!AD27</f>
        <v>5747081.03357</v>
      </c>
      <c r="C29" s="240">
        <f>Черн!AE27</f>
        <v>2686942.67435</v>
      </c>
      <c r="D29" s="240">
        <f t="shared" si="0"/>
        <v>46.753171891173281</v>
      </c>
      <c r="E29" s="240">
        <f>Черн!AK27</f>
        <v>5973031.3696400002</v>
      </c>
      <c r="F29" s="240">
        <f>Черн!AL27</f>
        <v>2965864.2775599998</v>
      </c>
      <c r="G29" s="240">
        <f t="shared" si="1"/>
        <v>49.654255837915599</v>
      </c>
      <c r="H29" s="240">
        <f>Черн!CD27</f>
        <v>-225950.33607000019</v>
      </c>
      <c r="I29" s="240">
        <f>Черн!CE27</f>
        <v>-278921.60320999986</v>
      </c>
      <c r="J29" s="240">
        <f>Черн!BY27</f>
        <v>192375.88666999998</v>
      </c>
      <c r="K29" s="240">
        <f>Черн!CA27</f>
        <v>503.62296000000003</v>
      </c>
      <c r="L29" s="240">
        <f>Черн!CB27</f>
        <v>-108813.23869000003</v>
      </c>
      <c r="M29" s="240">
        <f>Черн!CC27</f>
        <v>-259609.31300999998</v>
      </c>
      <c r="N29" s="240">
        <f>Черн!CG27</f>
        <v>1631466.665</v>
      </c>
      <c r="O29" s="242">
        <f>Черн!CH27</f>
        <v>0</v>
      </c>
    </row>
    <row r="30" spans="1:15" x14ac:dyDescent="0.25">
      <c r="A30" s="239" t="s">
        <v>184</v>
      </c>
      <c r="B30" s="240">
        <f>Черн!AD28</f>
        <v>1687618.3470000001</v>
      </c>
      <c r="C30" s="240">
        <f>Черн!AE28</f>
        <v>847843.72090999992</v>
      </c>
      <c r="D30" s="240">
        <f t="shared" si="0"/>
        <v>50.239067524785561</v>
      </c>
      <c r="E30" s="240">
        <f>Черн!AK28</f>
        <v>1761993.4511800001</v>
      </c>
      <c r="F30" s="240">
        <f>Черн!AL28</f>
        <v>883044.13461000007</v>
      </c>
      <c r="G30" s="240">
        <f t="shared" si="1"/>
        <v>50.116198446630371</v>
      </c>
      <c r="H30" s="240">
        <f>Черн!CD28</f>
        <v>-74375.104180000024</v>
      </c>
      <c r="I30" s="240">
        <f>Черн!CE28</f>
        <v>-35200.41370000015</v>
      </c>
      <c r="J30" s="240">
        <f>Черн!BY28</f>
        <v>12231.994000000001</v>
      </c>
      <c r="K30" s="240">
        <f>Черн!CA28</f>
        <v>4475.058</v>
      </c>
      <c r="L30" s="240">
        <f>Черн!CB28</f>
        <v>5369.0558900000005</v>
      </c>
      <c r="M30" s="240">
        <f>Черн!CC28</f>
        <v>3374.1621800000003</v>
      </c>
      <c r="N30" s="240">
        <f>Черн!CG28</f>
        <v>100000</v>
      </c>
      <c r="O30" s="242">
        <f>Черн!CH28</f>
        <v>-4000</v>
      </c>
    </row>
    <row r="31" spans="1:15" x14ac:dyDescent="0.25">
      <c r="A31" s="239" t="s">
        <v>185</v>
      </c>
      <c r="B31" s="240">
        <f>Черн!AD29</f>
        <v>918970.91665000003</v>
      </c>
      <c r="C31" s="240">
        <f>Черн!AE29</f>
        <v>478356.71798000002</v>
      </c>
      <c r="D31" s="240">
        <f t="shared" si="0"/>
        <v>52.053520880050584</v>
      </c>
      <c r="E31" s="240">
        <f>Черн!AK29</f>
        <v>941614.21562999999</v>
      </c>
      <c r="F31" s="240">
        <f>Черн!AL29</f>
        <v>486337.53598000004</v>
      </c>
      <c r="G31" s="240">
        <f t="shared" si="1"/>
        <v>51.649340877315574</v>
      </c>
      <c r="H31" s="240">
        <f>Черн!CD29</f>
        <v>-22643.298979999963</v>
      </c>
      <c r="I31" s="240">
        <f>Черн!CE29</f>
        <v>-7980.8180000000284</v>
      </c>
      <c r="J31" s="240">
        <f>Черн!BY29</f>
        <v>8207.9985099999994</v>
      </c>
      <c r="K31" s="240">
        <f>Черн!CA29</f>
        <v>2951.2183999999997</v>
      </c>
      <c r="L31" s="240">
        <f>Черн!CB29</f>
        <v>-7398.0179800000005</v>
      </c>
      <c r="M31" s="240">
        <f>Черн!CC29</f>
        <v>307.91941999999972</v>
      </c>
      <c r="N31" s="240">
        <f>Черн!CG29</f>
        <v>59800</v>
      </c>
      <c r="O31" s="242">
        <f>Черн!CH29</f>
        <v>-10200</v>
      </c>
    </row>
    <row r="32" spans="1:15" x14ac:dyDescent="0.25">
      <c r="A32" s="239" t="s">
        <v>186</v>
      </c>
      <c r="B32" s="240">
        <f>Черн!AD30</f>
        <v>838532.97432000004</v>
      </c>
      <c r="C32" s="240">
        <f>Черн!AE30</f>
        <v>437910.41510000004</v>
      </c>
      <c r="D32" s="240">
        <f t="shared" si="0"/>
        <v>52.223398305250804</v>
      </c>
      <c r="E32" s="240">
        <f>Черн!AK30</f>
        <v>863859.11375000002</v>
      </c>
      <c r="F32" s="240">
        <f>Черн!AL30</f>
        <v>434998.17268000002</v>
      </c>
      <c r="G32" s="240">
        <f t="shared" si="1"/>
        <v>50.355221789775328</v>
      </c>
      <c r="H32" s="240">
        <f>Черн!CD30</f>
        <v>-25326.139429999981</v>
      </c>
      <c r="I32" s="240">
        <f>Черн!CE30</f>
        <v>2912.2424200000241</v>
      </c>
      <c r="J32" s="240">
        <f>Черн!BY30</f>
        <v>10616.507029999999</v>
      </c>
      <c r="K32" s="240">
        <f>Черн!CA30</f>
        <v>17.470599999999997</v>
      </c>
      <c r="L32" s="240">
        <f>Черн!CB30</f>
        <v>2912.2424199999987</v>
      </c>
      <c r="M32" s="240">
        <f>Черн!CC30</f>
        <v>-609.97508000000005</v>
      </c>
      <c r="N32" s="240">
        <f>Черн!CG30</f>
        <v>212247.42499999999</v>
      </c>
      <c r="O32" s="242">
        <f>Черн!CH30</f>
        <v>0</v>
      </c>
    </row>
    <row r="33" spans="1:15" x14ac:dyDescent="0.25">
      <c r="A33" s="239" t="s">
        <v>187</v>
      </c>
      <c r="B33" s="240">
        <f>Черн!AD31</f>
        <v>1033949.2460700001</v>
      </c>
      <c r="C33" s="240">
        <f>Черн!AE31</f>
        <v>454798.49033999996</v>
      </c>
      <c r="D33" s="240">
        <f t="shared" si="0"/>
        <v>43.986539191229248</v>
      </c>
      <c r="E33" s="240">
        <f>Черн!AK31</f>
        <v>1125158.00352</v>
      </c>
      <c r="F33" s="240">
        <f>Черн!AL31</f>
        <v>456490.29175999999</v>
      </c>
      <c r="G33" s="241">
        <f t="shared" si="1"/>
        <v>40.571216694179228</v>
      </c>
      <c r="H33" s="240">
        <f>Черн!CD31</f>
        <v>-91208.757449999917</v>
      </c>
      <c r="I33" s="240">
        <f>Черн!CE31</f>
        <v>-1691.8014200000325</v>
      </c>
      <c r="J33" s="240">
        <f>Черн!BY31</f>
        <v>89943.807109999994</v>
      </c>
      <c r="K33" s="240">
        <f>Черн!CA31</f>
        <v>252.60496000000001</v>
      </c>
      <c r="L33" s="240">
        <f>Черн!CB31</f>
        <v>-1691.8014200000034</v>
      </c>
      <c r="M33" s="240">
        <f>Черн!CC31</f>
        <v>-3872.9658899999999</v>
      </c>
      <c r="N33" s="240">
        <f>Черн!CG31</f>
        <v>0</v>
      </c>
      <c r="O33" s="242">
        <f>Черн!CH31</f>
        <v>0</v>
      </c>
    </row>
    <row r="34" spans="1:15" x14ac:dyDescent="0.25">
      <c r="A34" s="239" t="s">
        <v>188</v>
      </c>
      <c r="B34" s="240">
        <f>Черн!AD32</f>
        <v>95096.85411</v>
      </c>
      <c r="C34" s="240">
        <f>Черн!AE32</f>
        <v>39871.15812</v>
      </c>
      <c r="D34" s="240">
        <f t="shared" si="0"/>
        <v>41.926894946367433</v>
      </c>
      <c r="E34" s="240">
        <f>Черн!AK32</f>
        <v>103639.97365</v>
      </c>
      <c r="F34" s="240">
        <f>Черн!AL32</f>
        <v>49364.868289999999</v>
      </c>
      <c r="G34" s="240">
        <f t="shared" si="1"/>
        <v>47.63110849169923</v>
      </c>
      <c r="H34" s="240">
        <f>Черн!CD32</f>
        <v>-8543.1195399999997</v>
      </c>
      <c r="I34" s="240">
        <f>Черн!CE32</f>
        <v>-9493.7101699999985</v>
      </c>
      <c r="J34" s="240">
        <f>Черн!BY32</f>
        <v>9548.6405399999985</v>
      </c>
      <c r="K34" s="240">
        <f>Черн!CA32</f>
        <v>2.7837299999999998</v>
      </c>
      <c r="L34" s="240">
        <f>Черн!CB32</f>
        <v>-9493.7101700000039</v>
      </c>
      <c r="M34" s="240">
        <f>Черн!CC32</f>
        <v>-3.4162700000000004</v>
      </c>
      <c r="N34" s="240">
        <f>Черн!CG32</f>
        <v>0</v>
      </c>
      <c r="O34" s="242">
        <f>Черн!CH32</f>
        <v>0</v>
      </c>
    </row>
    <row r="35" spans="1:15" s="244" customFormat="1" ht="13.8" thickBot="1" x14ac:dyDescent="0.3">
      <c r="A35" s="252" t="s">
        <v>189</v>
      </c>
      <c r="B35" s="253">
        <f>Черн!AD33</f>
        <v>31800967.671099998</v>
      </c>
      <c r="C35" s="253">
        <f>Черн!AE33</f>
        <v>15359806.812249999</v>
      </c>
      <c r="D35" s="253">
        <f t="shared" si="0"/>
        <v>48.299809525005884</v>
      </c>
      <c r="E35" s="253">
        <f>Черн!AK33</f>
        <v>34287187.815389998</v>
      </c>
      <c r="F35" s="253">
        <f>Черн!AL33</f>
        <v>16874562.254080001</v>
      </c>
      <c r="G35" s="253">
        <f t="shared" si="1"/>
        <v>49.215358065923851</v>
      </c>
      <c r="H35" s="253">
        <f>Черн!CD33</f>
        <v>-2486220.1442899993</v>
      </c>
      <c r="I35" s="253">
        <f>Черн!CE33</f>
        <v>-1514755.4418300006</v>
      </c>
      <c r="J35" s="253">
        <f>Черн!BY33</f>
        <v>1250502.8982200001</v>
      </c>
      <c r="K35" s="253">
        <f>Черн!CA33</f>
        <v>111236.58091999999</v>
      </c>
      <c r="L35" s="253">
        <f>Черн!CB33</f>
        <v>-548722.31917000003</v>
      </c>
      <c r="M35" s="253">
        <f>Черн!CC33</f>
        <v>-1318823.3099400001</v>
      </c>
      <c r="N35" s="253">
        <f>Черн!CG33</f>
        <v>3619476.9899999998</v>
      </c>
      <c r="O35" s="254">
        <f>Черн!CH33</f>
        <v>-26685.269829999997</v>
      </c>
    </row>
    <row r="36" spans="1:15" ht="13.8" thickTop="1" x14ac:dyDescent="0.25">
      <c r="I36" s="243">
        <f>I35+I32+I22</f>
        <v>-1511416.1624800006</v>
      </c>
    </row>
  </sheetData>
  <autoFilter ref="A8:O36"/>
  <mergeCells count="11">
    <mergeCell ref="K6:K7"/>
    <mergeCell ref="N1:O1"/>
    <mergeCell ref="A3:O3"/>
    <mergeCell ref="A5:A7"/>
    <mergeCell ref="B5:D6"/>
    <mergeCell ref="E5:G6"/>
    <mergeCell ref="H5:I6"/>
    <mergeCell ref="J5:J7"/>
    <mergeCell ref="L5:M6"/>
    <mergeCell ref="N5:N7"/>
    <mergeCell ref="O5:O7"/>
  </mergeCells>
  <pageMargins left="0" right="0" top="1.1417322834645669" bottom="0.74803149606299213" header="0.70866141732283472" footer="0.31496062992125984"/>
  <pageSetup paperSize="9" scale="82" orientation="landscape" r:id="rId1"/>
  <headerFooter>
    <oddFooter>&amp;CСтраница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opLeftCell="A4" workbookViewId="0">
      <pane xSplit="1" ySplit="6" topLeftCell="G10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ColWidth="9.109375" defaultRowHeight="13.2" x14ac:dyDescent="0.25"/>
  <cols>
    <col min="1" max="1" width="21.44140625" style="234" customWidth="1"/>
    <col min="2" max="3" width="12.33203125" style="243" bestFit="1" customWidth="1"/>
    <col min="4" max="4" width="6.109375" style="243" bestFit="1" customWidth="1"/>
    <col min="5" max="6" width="12.33203125" style="243" bestFit="1" customWidth="1"/>
    <col min="7" max="7" width="6.109375" style="243" bestFit="1" customWidth="1"/>
    <col min="8" max="9" width="11.33203125" style="243" bestFit="1" customWidth="1"/>
    <col min="10" max="10" width="6.5546875" style="243" customWidth="1"/>
    <col min="11" max="11" width="6" style="243" customWidth="1"/>
    <col min="12" max="12" width="5.109375" style="243" customWidth="1"/>
    <col min="13" max="14" width="12.33203125" style="243" bestFit="1" customWidth="1"/>
    <col min="15" max="15" width="5.88671875" style="243" customWidth="1"/>
    <col min="16" max="17" width="12.33203125" style="243" bestFit="1" customWidth="1"/>
    <col min="18" max="18" width="6.109375" style="243" customWidth="1"/>
    <col min="19" max="20" width="7.88671875" style="243" bestFit="1" customWidth="1"/>
    <col min="21" max="16384" width="9.109375" style="243"/>
  </cols>
  <sheetData>
    <row r="1" spans="1:20" ht="15" customHeight="1" x14ac:dyDescent="0.25">
      <c r="Q1" s="410" t="s">
        <v>272</v>
      </c>
      <c r="R1" s="410"/>
      <c r="S1" s="410"/>
      <c r="T1" s="410"/>
    </row>
    <row r="3" spans="1:20" s="234" customFormat="1" ht="36.75" customHeight="1" x14ac:dyDescent="0.25">
      <c r="A3" s="404" t="s">
        <v>424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</row>
    <row r="4" spans="1:20" s="234" customFormat="1" ht="13.8" thickBot="1" x14ac:dyDescent="0.3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T4" s="373" t="s">
        <v>422</v>
      </c>
    </row>
    <row r="5" spans="1:20" s="234" customFormat="1" ht="13.8" thickTop="1" x14ac:dyDescent="0.25">
      <c r="A5" s="392" t="s">
        <v>190</v>
      </c>
      <c r="B5" s="411" t="s">
        <v>191</v>
      </c>
      <c r="C5" s="411"/>
      <c r="D5" s="411"/>
      <c r="E5" s="394" t="s">
        <v>8</v>
      </c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5"/>
    </row>
    <row r="6" spans="1:20" s="234" customFormat="1" x14ac:dyDescent="0.25">
      <c r="A6" s="393"/>
      <c r="B6" s="412"/>
      <c r="C6" s="412"/>
      <c r="D6" s="412"/>
      <c r="E6" s="396" t="s">
        <v>203</v>
      </c>
      <c r="F6" s="396"/>
      <c r="G6" s="396"/>
      <c r="H6" s="396" t="s">
        <v>204</v>
      </c>
      <c r="I6" s="396"/>
      <c r="J6" s="396"/>
      <c r="K6" s="396"/>
      <c r="L6" s="396"/>
      <c r="M6" s="396" t="s">
        <v>411</v>
      </c>
      <c r="N6" s="396"/>
      <c r="O6" s="396"/>
      <c r="P6" s="396" t="s">
        <v>204</v>
      </c>
      <c r="Q6" s="396"/>
      <c r="R6" s="396"/>
      <c r="S6" s="396"/>
      <c r="T6" s="397"/>
    </row>
    <row r="7" spans="1:20" s="234" customFormat="1" ht="69" customHeight="1" x14ac:dyDescent="0.25">
      <c r="A7" s="393"/>
      <c r="B7" s="412"/>
      <c r="C7" s="412"/>
      <c r="D7" s="412"/>
      <c r="E7" s="396"/>
      <c r="F7" s="396"/>
      <c r="G7" s="396"/>
      <c r="H7" s="396" t="s">
        <v>205</v>
      </c>
      <c r="I7" s="396"/>
      <c r="J7" s="396"/>
      <c r="K7" s="396" t="s">
        <v>206</v>
      </c>
      <c r="L7" s="396"/>
      <c r="M7" s="396"/>
      <c r="N7" s="396"/>
      <c r="O7" s="396"/>
      <c r="P7" s="396" t="s">
        <v>207</v>
      </c>
      <c r="Q7" s="396"/>
      <c r="R7" s="396"/>
      <c r="S7" s="396" t="s">
        <v>208</v>
      </c>
      <c r="T7" s="397"/>
    </row>
    <row r="8" spans="1:20" s="245" customFormat="1" ht="24" x14ac:dyDescent="0.2">
      <c r="A8" s="393"/>
      <c r="B8" s="13" t="s">
        <v>194</v>
      </c>
      <c r="C8" s="13" t="s">
        <v>195</v>
      </c>
      <c r="D8" s="13" t="s">
        <v>153</v>
      </c>
      <c r="E8" s="13" t="s">
        <v>194</v>
      </c>
      <c r="F8" s="13" t="s">
        <v>195</v>
      </c>
      <c r="G8" s="13" t="s">
        <v>153</v>
      </c>
      <c r="H8" s="13" t="s">
        <v>194</v>
      </c>
      <c r="I8" s="13" t="s">
        <v>195</v>
      </c>
      <c r="J8" s="13" t="s">
        <v>153</v>
      </c>
      <c r="K8" s="13" t="s">
        <v>209</v>
      </c>
      <c r="L8" s="13" t="s">
        <v>210</v>
      </c>
      <c r="M8" s="13" t="s">
        <v>194</v>
      </c>
      <c r="N8" s="13" t="s">
        <v>195</v>
      </c>
      <c r="O8" s="13" t="s">
        <v>153</v>
      </c>
      <c r="P8" s="13" t="s">
        <v>194</v>
      </c>
      <c r="Q8" s="13" t="s">
        <v>195</v>
      </c>
      <c r="R8" s="13" t="s">
        <v>153</v>
      </c>
      <c r="S8" s="13" t="s">
        <v>209</v>
      </c>
      <c r="T8" s="14" t="s">
        <v>210</v>
      </c>
    </row>
    <row r="9" spans="1:20" s="249" customFormat="1" ht="20.399999999999999" x14ac:dyDescent="0.2">
      <c r="A9" s="246" t="s">
        <v>13</v>
      </c>
      <c r="B9" s="212" t="s">
        <v>14</v>
      </c>
      <c r="C9" s="212" t="s">
        <v>15</v>
      </c>
      <c r="D9" s="212" t="s">
        <v>198</v>
      </c>
      <c r="E9" s="212" t="s">
        <v>199</v>
      </c>
      <c r="F9" s="212" t="s">
        <v>211</v>
      </c>
      <c r="G9" s="212" t="s">
        <v>408</v>
      </c>
      <c r="H9" s="212" t="s">
        <v>17</v>
      </c>
      <c r="I9" s="212" t="s">
        <v>18</v>
      </c>
      <c r="J9" s="212" t="s">
        <v>412</v>
      </c>
      <c r="K9" s="212" t="s">
        <v>413</v>
      </c>
      <c r="L9" s="212" t="s">
        <v>414</v>
      </c>
      <c r="M9" s="212" t="s">
        <v>202</v>
      </c>
      <c r="N9" s="212" t="s">
        <v>409</v>
      </c>
      <c r="O9" s="212" t="s">
        <v>415</v>
      </c>
      <c r="P9" s="212" t="s">
        <v>416</v>
      </c>
      <c r="Q9" s="212" t="s">
        <v>417</v>
      </c>
      <c r="R9" s="212" t="s">
        <v>418</v>
      </c>
      <c r="S9" s="247" t="s">
        <v>419</v>
      </c>
      <c r="T9" s="248" t="s">
        <v>420</v>
      </c>
    </row>
    <row r="10" spans="1:20" x14ac:dyDescent="0.3">
      <c r="A10" s="250" t="s">
        <v>163</v>
      </c>
      <c r="B10" s="240">
        <f>Черн!AD7</f>
        <v>1406971.92775</v>
      </c>
      <c r="C10" s="240">
        <f>Черн!AE7</f>
        <v>686411.25368999992</v>
      </c>
      <c r="D10" s="240">
        <f>C10/B10%</f>
        <v>48.786421402713728</v>
      </c>
      <c r="E10" s="240">
        <f>Черн!BG7</f>
        <v>444509.19620999997</v>
      </c>
      <c r="F10" s="240">
        <f>Черн!BL7</f>
        <v>202728.49443000002</v>
      </c>
      <c r="G10" s="240">
        <f>F10/E10%</f>
        <v>45.607266656914064</v>
      </c>
      <c r="H10" s="240">
        <f>Черн!CW7</f>
        <v>228983</v>
      </c>
      <c r="I10" s="240">
        <f>Черн!CY7</f>
        <v>113783.48693000001</v>
      </c>
      <c r="J10" s="240">
        <f>I10/H10%</f>
        <v>49.690801033264485</v>
      </c>
      <c r="K10" s="240">
        <f>H10/B10%</f>
        <v>16.274880506406749</v>
      </c>
      <c r="L10" s="240">
        <f>I10/C10%</f>
        <v>16.576576552077832</v>
      </c>
      <c r="M10" s="240">
        <f>Черн!CS7</f>
        <v>962462.73153999983</v>
      </c>
      <c r="N10" s="240">
        <f>Черн!CT7</f>
        <v>483682.75925999996</v>
      </c>
      <c r="O10" s="240">
        <f>N10/M10%</f>
        <v>50.254700094836672</v>
      </c>
      <c r="P10" s="240">
        <f>Черн!AZ7</f>
        <v>1004907.2331700001</v>
      </c>
      <c r="Q10" s="240">
        <f>Черн!BA7</f>
        <v>525573.59</v>
      </c>
      <c r="R10" s="240">
        <f>Q10/P10%</f>
        <v>52.300707234643689</v>
      </c>
      <c r="S10" s="240">
        <f>P10/B10%</f>
        <v>71.423403221486211</v>
      </c>
      <c r="T10" s="242">
        <f>Q10/C10%</f>
        <v>76.56832360696724</v>
      </c>
    </row>
    <row r="11" spans="1:20" x14ac:dyDescent="0.3">
      <c r="A11" s="250" t="s">
        <v>164</v>
      </c>
      <c r="B11" s="240">
        <f>Черн!AD8</f>
        <v>609062.53118000005</v>
      </c>
      <c r="C11" s="240">
        <f>Черн!AE8</f>
        <v>289084.82077999995</v>
      </c>
      <c r="D11" s="240">
        <f t="shared" ref="D11:D36" si="0">C11/B11%</f>
        <v>47.463898365234506</v>
      </c>
      <c r="E11" s="240">
        <f>Черн!BG8</f>
        <v>97185.83</v>
      </c>
      <c r="F11" s="240">
        <f>Черн!BL8</f>
        <v>42771.071819999997</v>
      </c>
      <c r="G11" s="240">
        <f t="shared" ref="G11:G36" si="1">F11/E11%</f>
        <v>44.009576107957301</v>
      </c>
      <c r="H11" s="240">
        <f>Черн!CW8</f>
        <v>40131</v>
      </c>
      <c r="I11" s="240">
        <f>Черн!CY8</f>
        <v>19328.149239999999</v>
      </c>
      <c r="J11" s="240">
        <f t="shared" ref="J11:J36" si="2">I11/H11%</f>
        <v>48.162640452517998</v>
      </c>
      <c r="K11" s="241">
        <f t="shared" ref="K11:K36" si="3">H11/B11%</f>
        <v>6.588978626258629</v>
      </c>
      <c r="L11" s="241">
        <f t="shared" ref="L11:L36" si="4">I11/C11%</f>
        <v>6.6859785954341593</v>
      </c>
      <c r="M11" s="240">
        <f>Черн!CS8</f>
        <v>511876.70118000009</v>
      </c>
      <c r="N11" s="240">
        <f>Черн!CT8</f>
        <v>246313.74896</v>
      </c>
      <c r="O11" s="240">
        <f t="shared" ref="O11:O36" si="5">N11/M11%</f>
        <v>48.119742194201656</v>
      </c>
      <c r="P11" s="240">
        <f>Черн!AZ8</f>
        <v>538732.06005999993</v>
      </c>
      <c r="Q11" s="240">
        <f>Черн!BA8</f>
        <v>273169.10783999995</v>
      </c>
      <c r="R11" s="240">
        <f t="shared" ref="R11:R36" si="6">Q11/P11%</f>
        <v>50.705931221092811</v>
      </c>
      <c r="S11" s="241">
        <f t="shared" ref="S11:S36" si="7">P11/B11%</f>
        <v>88.45266823691459</v>
      </c>
      <c r="T11" s="258">
        <f t="shared" ref="T11:T36" si="8">Q11/C11%</f>
        <v>94.494448758306746</v>
      </c>
    </row>
    <row r="12" spans="1:20" x14ac:dyDescent="0.3">
      <c r="A12" s="250" t="s">
        <v>165</v>
      </c>
      <c r="B12" s="240">
        <f>Черн!AD9</f>
        <v>393516.75535000005</v>
      </c>
      <c r="C12" s="240">
        <f>Черн!AE9</f>
        <v>220379.32932000002</v>
      </c>
      <c r="D12" s="241">
        <f t="shared" si="0"/>
        <v>56.002527547776495</v>
      </c>
      <c r="E12" s="240">
        <f>Черн!BG9</f>
        <v>72704.800000000003</v>
      </c>
      <c r="F12" s="240">
        <f>Черн!BL9</f>
        <v>38073.729169999999</v>
      </c>
      <c r="G12" s="241">
        <f t="shared" si="1"/>
        <v>52.367559184538017</v>
      </c>
      <c r="H12" s="240">
        <f>Черн!CW9</f>
        <v>36272</v>
      </c>
      <c r="I12" s="240">
        <f>Черн!CY9</f>
        <v>20673.199239999998</v>
      </c>
      <c r="J12" s="241">
        <f t="shared" si="2"/>
        <v>56.994925121305684</v>
      </c>
      <c r="K12" s="240">
        <f t="shared" si="3"/>
        <v>9.2173965928691164</v>
      </c>
      <c r="L12" s="240">
        <f t="shared" si="4"/>
        <v>9.3807342566060932</v>
      </c>
      <c r="M12" s="240">
        <f>Черн!CS9</f>
        <v>320811.95535</v>
      </c>
      <c r="N12" s="240">
        <f>Черн!CT9</f>
        <v>182305.60015000001</v>
      </c>
      <c r="O12" s="240">
        <f t="shared" si="5"/>
        <v>56.826311211222759</v>
      </c>
      <c r="P12" s="240">
        <f>Черн!AZ9</f>
        <v>320393.07835000003</v>
      </c>
      <c r="Q12" s="240">
        <f>Черн!BA9</f>
        <v>181886.72314999998</v>
      </c>
      <c r="R12" s="240">
        <f t="shared" si="6"/>
        <v>56.769866592219394</v>
      </c>
      <c r="S12" s="240">
        <f t="shared" si="7"/>
        <v>81.417899998956173</v>
      </c>
      <c r="T12" s="242">
        <f t="shared" si="8"/>
        <v>82.533477033089994</v>
      </c>
    </row>
    <row r="13" spans="1:20" x14ac:dyDescent="0.3">
      <c r="A13" s="250" t="s">
        <v>166</v>
      </c>
      <c r="B13" s="240">
        <f>Черн!AD10</f>
        <v>571325.34164999996</v>
      </c>
      <c r="C13" s="240">
        <f>Черн!AE10</f>
        <v>328363.15473000001</v>
      </c>
      <c r="D13" s="241">
        <f t="shared" si="0"/>
        <v>57.473934865497142</v>
      </c>
      <c r="E13" s="240">
        <f>Черн!BG10</f>
        <v>105262.86131000001</v>
      </c>
      <c r="F13" s="240">
        <f>Черн!BL10</f>
        <v>46775.564989999999</v>
      </c>
      <c r="G13" s="240">
        <f t="shared" si="1"/>
        <v>44.436911943943421</v>
      </c>
      <c r="H13" s="240">
        <f>Черн!CW10</f>
        <v>49103</v>
      </c>
      <c r="I13" s="240">
        <f>Черн!CY10</f>
        <v>22494.456549999999</v>
      </c>
      <c r="J13" s="240">
        <f t="shared" si="2"/>
        <v>45.810758100319738</v>
      </c>
      <c r="K13" s="240">
        <f t="shared" si="3"/>
        <v>8.5945776286046538</v>
      </c>
      <c r="L13" s="241">
        <f t="shared" si="4"/>
        <v>6.8504813119170747</v>
      </c>
      <c r="M13" s="240">
        <f>Черн!CS10</f>
        <v>466062.48034000001</v>
      </c>
      <c r="N13" s="240">
        <f>Черн!CT10</f>
        <v>281587.58974000002</v>
      </c>
      <c r="O13" s="241">
        <f t="shared" si="5"/>
        <v>60.418420623470354</v>
      </c>
      <c r="P13" s="240">
        <f>Черн!AZ10</f>
        <v>466873.15399999998</v>
      </c>
      <c r="Q13" s="240">
        <f>Черн!BA10</f>
        <v>282398.2634</v>
      </c>
      <c r="R13" s="241">
        <f t="shared" si="6"/>
        <v>60.487149663782127</v>
      </c>
      <c r="S13" s="240">
        <f t="shared" si="7"/>
        <v>81.717564400637329</v>
      </c>
      <c r="T13" s="242">
        <f t="shared" si="8"/>
        <v>86.001812119330168</v>
      </c>
    </row>
    <row r="14" spans="1:20" x14ac:dyDescent="0.3">
      <c r="A14" s="250" t="s">
        <v>167</v>
      </c>
      <c r="B14" s="240">
        <f>Черн!AD11</f>
        <v>634342.64504000009</v>
      </c>
      <c r="C14" s="240">
        <f>Черн!AE11</f>
        <v>294615.76009</v>
      </c>
      <c r="D14" s="240">
        <f t="shared" si="0"/>
        <v>46.444262007865206</v>
      </c>
      <c r="E14" s="240">
        <f>Черн!BG11</f>
        <v>125202.849</v>
      </c>
      <c r="F14" s="240">
        <f>Черн!BL11</f>
        <v>55409.416969999998</v>
      </c>
      <c r="G14" s="240">
        <f t="shared" si="1"/>
        <v>44.255715754519294</v>
      </c>
      <c r="H14" s="240">
        <f>Черн!CW11</f>
        <v>51854</v>
      </c>
      <c r="I14" s="240">
        <f>Черн!CY11</f>
        <v>24352.361690000002</v>
      </c>
      <c r="J14" s="240">
        <f t="shared" si="2"/>
        <v>46.9633233501755</v>
      </c>
      <c r="K14" s="241">
        <f t="shared" si="3"/>
        <v>8.1744464770660681</v>
      </c>
      <c r="L14" s="240">
        <f t="shared" si="4"/>
        <v>8.2658041384346781</v>
      </c>
      <c r="M14" s="240">
        <f>Черн!CS11</f>
        <v>509139.79603999999</v>
      </c>
      <c r="N14" s="240">
        <f>Черн!CT11</f>
        <v>239206.34312000003</v>
      </c>
      <c r="O14" s="240">
        <f t="shared" si="5"/>
        <v>46.982448628157734</v>
      </c>
      <c r="P14" s="240">
        <f>Черн!AZ11</f>
        <v>525131.38682000013</v>
      </c>
      <c r="Q14" s="240">
        <f>Черн!BA11</f>
        <v>254321.88390000002</v>
      </c>
      <c r="R14" s="240">
        <f t="shared" si="6"/>
        <v>48.430143442782672</v>
      </c>
      <c r="S14" s="240">
        <f t="shared" si="7"/>
        <v>82.783554113232697</v>
      </c>
      <c r="T14" s="242">
        <f t="shared" si="8"/>
        <v>86.323244833307314</v>
      </c>
    </row>
    <row r="15" spans="1:20" x14ac:dyDescent="0.3">
      <c r="A15" s="250" t="s">
        <v>168</v>
      </c>
      <c r="B15" s="240">
        <f>Черн!AD12</f>
        <v>468941.07255000004</v>
      </c>
      <c r="C15" s="240">
        <f>Черн!AE12</f>
        <v>103494.52712999994</v>
      </c>
      <c r="D15" s="241">
        <f t="shared" si="0"/>
        <v>22.069836315940318</v>
      </c>
      <c r="E15" s="240">
        <f>Черн!BG12</f>
        <v>152109</v>
      </c>
      <c r="F15" s="240">
        <f>Черн!BL12</f>
        <v>66175.808310000008</v>
      </c>
      <c r="G15" s="240">
        <f t="shared" si="1"/>
        <v>43.505517957517313</v>
      </c>
      <c r="H15" s="240">
        <f>Черн!CW12</f>
        <v>93184</v>
      </c>
      <c r="I15" s="240">
        <f>Черн!CY12</f>
        <v>39210.176639999998</v>
      </c>
      <c r="J15" s="240">
        <f t="shared" si="2"/>
        <v>42.078228708791208</v>
      </c>
      <c r="K15" s="240">
        <f t="shared" si="3"/>
        <v>19.871153425159704</v>
      </c>
      <c r="L15" s="241">
        <f t="shared" si="4"/>
        <v>37.88623198475792</v>
      </c>
      <c r="M15" s="240">
        <f>Черн!CS12</f>
        <v>316832.07255000004</v>
      </c>
      <c r="N15" s="240">
        <f>Черн!CT12</f>
        <v>37318.718819999965</v>
      </c>
      <c r="O15" s="241">
        <f t="shared" si="5"/>
        <v>11.778706151698266</v>
      </c>
      <c r="P15" s="240">
        <f>Черн!AZ12</f>
        <v>615134.80646999995</v>
      </c>
      <c r="Q15" s="240">
        <f>Черн!BA12</f>
        <v>335621.45273999998</v>
      </c>
      <c r="R15" s="240">
        <f t="shared" si="6"/>
        <v>54.560634386142183</v>
      </c>
      <c r="S15" s="241">
        <f t="shared" si="7"/>
        <v>131.1752888534651</v>
      </c>
      <c r="T15" s="258">
        <f t="shared" si="8"/>
        <v>324.28908276321158</v>
      </c>
    </row>
    <row r="16" spans="1:20" x14ac:dyDescent="0.3">
      <c r="A16" s="250" t="s">
        <v>169</v>
      </c>
      <c r="B16" s="240">
        <f>Черн!AD13</f>
        <v>559774.21240000008</v>
      </c>
      <c r="C16" s="240">
        <f>Черн!AE13</f>
        <v>267188.57802999992</v>
      </c>
      <c r="D16" s="240">
        <f t="shared" si="0"/>
        <v>47.731491038939453</v>
      </c>
      <c r="E16" s="240">
        <f>Черн!BG13</f>
        <v>183013.5</v>
      </c>
      <c r="F16" s="240">
        <f>Черн!BL13</f>
        <v>79350.988769999996</v>
      </c>
      <c r="G16" s="240">
        <f t="shared" si="1"/>
        <v>43.357997508380528</v>
      </c>
      <c r="H16" s="240">
        <f>Черн!CW13</f>
        <v>92447</v>
      </c>
      <c r="I16" s="240">
        <f>Черн!CY13</f>
        <v>49117.921069999997</v>
      </c>
      <c r="J16" s="240">
        <f t="shared" si="2"/>
        <v>53.130897779268118</v>
      </c>
      <c r="K16" s="240">
        <f t="shared" si="3"/>
        <v>16.515051596185319</v>
      </c>
      <c r="L16" s="240">
        <f t="shared" si="4"/>
        <v>18.383241316732125</v>
      </c>
      <c r="M16" s="240">
        <f>Черн!CS13</f>
        <v>376760.71240000002</v>
      </c>
      <c r="N16" s="240">
        <f>Черн!CT13</f>
        <v>187837.58926000001</v>
      </c>
      <c r="O16" s="240">
        <f t="shared" si="5"/>
        <v>49.855938551410382</v>
      </c>
      <c r="P16" s="240">
        <f>Черн!AZ13</f>
        <v>386653.93151000002</v>
      </c>
      <c r="Q16" s="240">
        <f>Черн!BA13</f>
        <v>196973.30837000004</v>
      </c>
      <c r="R16" s="240">
        <f t="shared" si="6"/>
        <v>50.94305070189251</v>
      </c>
      <c r="S16" s="240">
        <f t="shared" si="7"/>
        <v>69.07319468187778</v>
      </c>
      <c r="T16" s="242">
        <f t="shared" si="8"/>
        <v>73.720706858915165</v>
      </c>
    </row>
    <row r="17" spans="1:20" x14ac:dyDescent="0.3">
      <c r="A17" s="250" t="s">
        <v>170</v>
      </c>
      <c r="B17" s="240">
        <f>Черн!AD14</f>
        <v>493605.87528999988</v>
      </c>
      <c r="C17" s="240">
        <f>Черн!AE14</f>
        <v>252260.37641999999</v>
      </c>
      <c r="D17" s="240">
        <f t="shared" si="0"/>
        <v>51.105626786106171</v>
      </c>
      <c r="E17" s="240">
        <f>Черн!BG14</f>
        <v>92849.966960000005</v>
      </c>
      <c r="F17" s="240">
        <f>Черн!BL14</f>
        <v>40302.145530000002</v>
      </c>
      <c r="G17" s="240">
        <f t="shared" si="1"/>
        <v>43.405664912473547</v>
      </c>
      <c r="H17" s="240">
        <f>Черн!CW14</f>
        <v>43153</v>
      </c>
      <c r="I17" s="240">
        <f>Черн!CY14</f>
        <v>20245.837289999999</v>
      </c>
      <c r="J17" s="240">
        <f t="shared" si="2"/>
        <v>46.916407410840499</v>
      </c>
      <c r="K17" s="240">
        <f t="shared" si="3"/>
        <v>8.7423999916222748</v>
      </c>
      <c r="L17" s="240">
        <f t="shared" si="4"/>
        <v>8.0257698721149016</v>
      </c>
      <c r="M17" s="240">
        <f>Черн!CS14</f>
        <v>400755.90832999995</v>
      </c>
      <c r="N17" s="240">
        <f>Черн!CT14</f>
        <v>211958.23088999998</v>
      </c>
      <c r="O17" s="240">
        <f t="shared" si="5"/>
        <v>52.889608483442316</v>
      </c>
      <c r="P17" s="240">
        <f>Черн!AZ14</f>
        <v>399984.05732999998</v>
      </c>
      <c r="Q17" s="240">
        <f>Черн!BA14</f>
        <v>211388.37988999998</v>
      </c>
      <c r="R17" s="240">
        <f t="shared" si="6"/>
        <v>52.849201365942847</v>
      </c>
      <c r="S17" s="240">
        <f t="shared" si="7"/>
        <v>81.03308273934222</v>
      </c>
      <c r="T17" s="242">
        <f t="shared" si="8"/>
        <v>83.797694624085423</v>
      </c>
    </row>
    <row r="18" spans="1:20" x14ac:dyDescent="0.3">
      <c r="A18" s="250" t="s">
        <v>171</v>
      </c>
      <c r="B18" s="240">
        <f>Черн!AD15</f>
        <v>500588.06842999998</v>
      </c>
      <c r="C18" s="240">
        <f>Черн!AE15</f>
        <v>259062.64027999999</v>
      </c>
      <c r="D18" s="240">
        <f t="shared" si="0"/>
        <v>51.751661019908255</v>
      </c>
      <c r="E18" s="240">
        <f>Черн!BG15</f>
        <v>118611.14934999999</v>
      </c>
      <c r="F18" s="240">
        <f>Черн!BL15</f>
        <v>58878.429239999998</v>
      </c>
      <c r="G18" s="240">
        <f t="shared" si="1"/>
        <v>49.639877501111158</v>
      </c>
      <c r="H18" s="240">
        <f>Черн!CW15</f>
        <v>76355.59</v>
      </c>
      <c r="I18" s="240">
        <f>Черн!CY15</f>
        <v>38656.147850000001</v>
      </c>
      <c r="J18" s="240">
        <f t="shared" si="2"/>
        <v>50.626480458077793</v>
      </c>
      <c r="K18" s="240">
        <f t="shared" si="3"/>
        <v>15.253178174916332</v>
      </c>
      <c r="L18" s="240">
        <f t="shared" si="4"/>
        <v>14.921544769334426</v>
      </c>
      <c r="M18" s="240">
        <f>Черн!CS15</f>
        <v>381976.91907999996</v>
      </c>
      <c r="N18" s="240">
        <f>Черн!CT15</f>
        <v>200184.21104000002</v>
      </c>
      <c r="O18" s="240">
        <f t="shared" si="5"/>
        <v>52.407410249328208</v>
      </c>
      <c r="P18" s="240">
        <f>Черн!AZ15</f>
        <v>394869.32502999995</v>
      </c>
      <c r="Q18" s="240">
        <f>Черн!BA15</f>
        <v>213115.89316000001</v>
      </c>
      <c r="R18" s="240">
        <f t="shared" si="6"/>
        <v>53.971245587083438</v>
      </c>
      <c r="S18" s="240">
        <f t="shared" si="7"/>
        <v>78.881090048437045</v>
      </c>
      <c r="T18" s="242">
        <f t="shared" si="8"/>
        <v>82.264232669620043</v>
      </c>
    </row>
    <row r="19" spans="1:20" x14ac:dyDescent="0.3">
      <c r="A19" s="250" t="s">
        <v>172</v>
      </c>
      <c r="B19" s="240">
        <f>Черн!AD16</f>
        <v>352587.93049999996</v>
      </c>
      <c r="C19" s="240">
        <f>Черн!AE16</f>
        <v>204619.19582999998</v>
      </c>
      <c r="D19" s="241">
        <f t="shared" si="0"/>
        <v>58.03352245774051</v>
      </c>
      <c r="E19" s="240">
        <f>Черн!BG16</f>
        <v>53840.6</v>
      </c>
      <c r="F19" s="240">
        <f>Черн!BL16</f>
        <v>22703.275409999998</v>
      </c>
      <c r="G19" s="240">
        <f t="shared" si="1"/>
        <v>42.167575045597559</v>
      </c>
      <c r="H19" s="240">
        <f>Черн!CW16</f>
        <v>30447.3</v>
      </c>
      <c r="I19" s="240">
        <f>Черн!CY16</f>
        <v>15187.36809</v>
      </c>
      <c r="J19" s="240">
        <f t="shared" si="2"/>
        <v>49.880837020031329</v>
      </c>
      <c r="K19" s="240">
        <f t="shared" si="3"/>
        <v>8.635377835203581</v>
      </c>
      <c r="L19" s="240">
        <f t="shared" si="4"/>
        <v>7.4222596899549158</v>
      </c>
      <c r="M19" s="240">
        <f>Черн!CS16</f>
        <v>298747.33049999998</v>
      </c>
      <c r="N19" s="240">
        <f>Черн!CT16</f>
        <v>181915.92041999998</v>
      </c>
      <c r="O19" s="241">
        <f t="shared" si="5"/>
        <v>60.892902412060209</v>
      </c>
      <c r="P19" s="240">
        <f>Черн!AZ16</f>
        <v>298751.46499999997</v>
      </c>
      <c r="Q19" s="240">
        <f>Черн!BA16</f>
        <v>181920.05491999997</v>
      </c>
      <c r="R19" s="241">
        <f t="shared" si="6"/>
        <v>60.893443625456364</v>
      </c>
      <c r="S19" s="240">
        <f t="shared" si="7"/>
        <v>84.731052641633184</v>
      </c>
      <c r="T19" s="242">
        <f t="shared" si="8"/>
        <v>88.906641521131405</v>
      </c>
    </row>
    <row r="20" spans="1:20" x14ac:dyDescent="0.3">
      <c r="A20" s="250" t="s">
        <v>173</v>
      </c>
      <c r="B20" s="240">
        <f>Черн!AD17</f>
        <v>522292.90035000001</v>
      </c>
      <c r="C20" s="240">
        <f>Черн!AE17</f>
        <v>275126.91099999996</v>
      </c>
      <c r="D20" s="240">
        <f t="shared" si="0"/>
        <v>52.676747245775566</v>
      </c>
      <c r="E20" s="240">
        <f>Черн!BG17</f>
        <v>161120.98593</v>
      </c>
      <c r="F20" s="240">
        <f>Черн!BL17</f>
        <v>82405.015960000004</v>
      </c>
      <c r="G20" s="240">
        <f t="shared" si="1"/>
        <v>51.144806174287787</v>
      </c>
      <c r="H20" s="240">
        <f>Черн!CW17</f>
        <v>98723.6</v>
      </c>
      <c r="I20" s="240">
        <f>Черн!CY17</f>
        <v>48677.279640000001</v>
      </c>
      <c r="J20" s="240">
        <f t="shared" si="2"/>
        <v>49.306629458407102</v>
      </c>
      <c r="K20" s="240">
        <f t="shared" si="3"/>
        <v>18.901960936831255</v>
      </c>
      <c r="L20" s="240">
        <f t="shared" si="4"/>
        <v>17.692663892119228</v>
      </c>
      <c r="M20" s="240">
        <f>Черн!CS17</f>
        <v>361171.91441999999</v>
      </c>
      <c r="N20" s="240">
        <f>Черн!CT17</f>
        <v>192721.89504</v>
      </c>
      <c r="O20" s="240">
        <f t="shared" si="5"/>
        <v>53.360155467650053</v>
      </c>
      <c r="P20" s="240">
        <f>Черн!AZ17</f>
        <v>359335.20899999997</v>
      </c>
      <c r="Q20" s="240">
        <f>Черн!BA17</f>
        <v>190885.18962000002</v>
      </c>
      <c r="R20" s="240">
        <f t="shared" si="6"/>
        <v>53.12176063993774</v>
      </c>
      <c r="S20" s="240">
        <f t="shared" si="7"/>
        <v>68.799558400889907</v>
      </c>
      <c r="T20" s="242">
        <f t="shared" si="8"/>
        <v>69.380777375136532</v>
      </c>
    </row>
    <row r="21" spans="1:20" x14ac:dyDescent="0.3">
      <c r="A21" s="250" t="s">
        <v>174</v>
      </c>
      <c r="B21" s="240">
        <f>Черн!AD18</f>
        <v>725760.54579</v>
      </c>
      <c r="C21" s="240">
        <f>Черн!AE18</f>
        <v>307278.38050999999</v>
      </c>
      <c r="D21" s="240">
        <f t="shared" si="0"/>
        <v>42.338810271853973</v>
      </c>
      <c r="E21" s="240">
        <f>Черн!BG18</f>
        <v>272392.59999999998</v>
      </c>
      <c r="F21" s="240">
        <f>Черн!BL18</f>
        <v>109750.22537</v>
      </c>
      <c r="G21" s="241">
        <f t="shared" si="1"/>
        <v>40.291191967035815</v>
      </c>
      <c r="H21" s="240">
        <f>Черн!CW18</f>
        <v>149532</v>
      </c>
      <c r="I21" s="240">
        <f>Черн!CY18</f>
        <v>71170.874280000004</v>
      </c>
      <c r="J21" s="240">
        <f t="shared" si="2"/>
        <v>47.595748254554216</v>
      </c>
      <c r="K21" s="240">
        <f t="shared" si="3"/>
        <v>20.603489796656337</v>
      </c>
      <c r="L21" s="240">
        <f t="shared" si="4"/>
        <v>23.161692717162651</v>
      </c>
      <c r="M21" s="240">
        <f>Черн!CS18</f>
        <v>453367.94579000003</v>
      </c>
      <c r="N21" s="240">
        <f>Черн!CT18</f>
        <v>197528.15513999999</v>
      </c>
      <c r="O21" s="240">
        <f t="shared" si="5"/>
        <v>43.569060621567409</v>
      </c>
      <c r="P21" s="240">
        <f>Черн!AZ18</f>
        <v>492013.76117000007</v>
      </c>
      <c r="Q21" s="240">
        <f>Черн!BA18</f>
        <v>236173.97052</v>
      </c>
      <c r="R21" s="240">
        <f t="shared" si="6"/>
        <v>48.001496941545383</v>
      </c>
      <c r="S21" s="240">
        <f t="shared" si="7"/>
        <v>67.792850413828504</v>
      </c>
      <c r="T21" s="242">
        <f t="shared" si="8"/>
        <v>76.859937275123073</v>
      </c>
    </row>
    <row r="22" spans="1:20" x14ac:dyDescent="0.3">
      <c r="A22" s="250" t="s">
        <v>175</v>
      </c>
      <c r="B22" s="240">
        <f>Черн!AD19</f>
        <v>758440.59235000005</v>
      </c>
      <c r="C22" s="240">
        <f>Черн!AE19</f>
        <v>307577.09951000003</v>
      </c>
      <c r="D22" s="241">
        <f t="shared" si="0"/>
        <v>40.55388155807745</v>
      </c>
      <c r="E22" s="240">
        <f>Черн!BG19</f>
        <v>243577.62127999999</v>
      </c>
      <c r="F22" s="240">
        <f>Черн!BL19</f>
        <v>115991.70183000001</v>
      </c>
      <c r="G22" s="240">
        <f t="shared" si="1"/>
        <v>47.620015837441798</v>
      </c>
      <c r="H22" s="240">
        <f>Черн!CW19</f>
        <v>132200</v>
      </c>
      <c r="I22" s="240">
        <f>Черн!CY19</f>
        <v>63880.856570000004</v>
      </c>
      <c r="J22" s="240">
        <f t="shared" si="2"/>
        <v>48.321374107413014</v>
      </c>
      <c r="K22" s="240">
        <f t="shared" si="3"/>
        <v>17.430501654768136</v>
      </c>
      <c r="L22" s="240">
        <f t="shared" si="4"/>
        <v>20.769054871695054</v>
      </c>
      <c r="M22" s="240">
        <f>Черн!CS19</f>
        <v>514862.97107000003</v>
      </c>
      <c r="N22" s="240">
        <f>Черн!CT19</f>
        <v>191585.39767999999</v>
      </c>
      <c r="O22" s="241">
        <f t="shared" si="5"/>
        <v>37.21094901850153</v>
      </c>
      <c r="P22" s="240">
        <f>Черн!AZ19</f>
        <v>648961.37225999986</v>
      </c>
      <c r="Q22" s="240">
        <f>Черн!BA19</f>
        <v>325673.16886999999</v>
      </c>
      <c r="R22" s="240">
        <f t="shared" si="6"/>
        <v>50.18375249914294</v>
      </c>
      <c r="S22" s="240">
        <f t="shared" si="7"/>
        <v>85.565221430094752</v>
      </c>
      <c r="T22" s="258">
        <f t="shared" si="8"/>
        <v>105.88342545294456</v>
      </c>
    </row>
    <row r="23" spans="1:20" x14ac:dyDescent="0.3">
      <c r="A23" s="250" t="s">
        <v>176</v>
      </c>
      <c r="B23" s="240">
        <f>Черн!AD20</f>
        <v>1016085.9617000001</v>
      </c>
      <c r="C23" s="240">
        <f>Черн!AE20</f>
        <v>523671.02289999992</v>
      </c>
      <c r="D23" s="240">
        <f t="shared" si="0"/>
        <v>51.538062982767002</v>
      </c>
      <c r="E23" s="240">
        <f>Черн!BG20</f>
        <v>152646.43034999998</v>
      </c>
      <c r="F23" s="240">
        <f>Черн!BL20</f>
        <v>70730.173840000003</v>
      </c>
      <c r="G23" s="240">
        <f t="shared" si="1"/>
        <v>46.33595012855799</v>
      </c>
      <c r="H23" s="240">
        <f>Черн!CW20</f>
        <v>90413.5</v>
      </c>
      <c r="I23" s="240">
        <f>Черн!CY20</f>
        <v>43793.516090000005</v>
      </c>
      <c r="J23" s="240">
        <f t="shared" si="2"/>
        <v>48.436921576976893</v>
      </c>
      <c r="K23" s="240">
        <f t="shared" si="3"/>
        <v>8.8982136756156294</v>
      </c>
      <c r="L23" s="240">
        <f t="shared" si="4"/>
        <v>8.3627915570884657</v>
      </c>
      <c r="M23" s="240">
        <f>Черн!CS20</f>
        <v>863439.53134999995</v>
      </c>
      <c r="N23" s="240">
        <f>Черн!CT20</f>
        <v>452940.84905999998</v>
      </c>
      <c r="O23" s="240">
        <f t="shared" si="5"/>
        <v>52.457738221901948</v>
      </c>
      <c r="P23" s="240">
        <f>Черн!AZ20</f>
        <v>866629.69</v>
      </c>
      <c r="Q23" s="240">
        <f>Черн!BA20</f>
        <v>455731.00771000003</v>
      </c>
      <c r="R23" s="240">
        <f t="shared" si="6"/>
        <v>52.586590670578119</v>
      </c>
      <c r="S23" s="240">
        <f t="shared" si="7"/>
        <v>85.290981537630245</v>
      </c>
      <c r="T23" s="242">
        <f t="shared" si="8"/>
        <v>87.026203051343231</v>
      </c>
    </row>
    <row r="24" spans="1:20" x14ac:dyDescent="0.3">
      <c r="A24" s="250" t="s">
        <v>177</v>
      </c>
      <c r="B24" s="240">
        <f>Черн!AD21</f>
        <v>1184265.43019</v>
      </c>
      <c r="C24" s="240">
        <f>Черн!AE21</f>
        <v>559891.28127999988</v>
      </c>
      <c r="D24" s="240">
        <f t="shared" si="0"/>
        <v>47.277516256653087</v>
      </c>
      <c r="E24" s="240">
        <f>Черн!BG21</f>
        <v>344511.02126999997</v>
      </c>
      <c r="F24" s="240">
        <f>Черн!BL21</f>
        <v>151920.47654</v>
      </c>
      <c r="G24" s="240">
        <f t="shared" si="1"/>
        <v>44.09742131905179</v>
      </c>
      <c r="H24" s="240">
        <f>Черн!CW21</f>
        <v>193256.8</v>
      </c>
      <c r="I24" s="240">
        <f>Черн!CY21</f>
        <v>90833.652959999992</v>
      </c>
      <c r="J24" s="240">
        <f t="shared" si="2"/>
        <v>47.001530067764755</v>
      </c>
      <c r="K24" s="240">
        <f t="shared" si="3"/>
        <v>16.318706522489173</v>
      </c>
      <c r="L24" s="240">
        <f t="shared" si="4"/>
        <v>16.223444800272638</v>
      </c>
      <c r="M24" s="240">
        <f>Черн!CS21</f>
        <v>839754.40891999984</v>
      </c>
      <c r="N24" s="240">
        <f>Черн!CT21</f>
        <v>407970.80473999993</v>
      </c>
      <c r="O24" s="240">
        <f t="shared" si="5"/>
        <v>48.582156926652793</v>
      </c>
      <c r="P24" s="240">
        <f>Черн!AZ21</f>
        <v>843925.86670000001</v>
      </c>
      <c r="Q24" s="240">
        <f>Черн!BA21</f>
        <v>412128.26251999993</v>
      </c>
      <c r="R24" s="240">
        <f t="shared" si="6"/>
        <v>48.834652281905214</v>
      </c>
      <c r="S24" s="240">
        <f t="shared" si="7"/>
        <v>71.261547047320548</v>
      </c>
      <c r="T24" s="242">
        <f t="shared" si="8"/>
        <v>73.608623012990961</v>
      </c>
    </row>
    <row r="25" spans="1:20" x14ac:dyDescent="0.3">
      <c r="A25" s="250" t="s">
        <v>178</v>
      </c>
      <c r="B25" s="240">
        <f>Черн!AD22</f>
        <v>1176816.9655900002</v>
      </c>
      <c r="C25" s="240">
        <f>Черн!AE22</f>
        <v>507522.99712000007</v>
      </c>
      <c r="D25" s="240">
        <f t="shared" si="0"/>
        <v>43.126757342893349</v>
      </c>
      <c r="E25" s="240">
        <f>Черн!BG22</f>
        <v>309393.1434</v>
      </c>
      <c r="F25" s="240">
        <f>Черн!BL22</f>
        <v>159157.12961999999</v>
      </c>
      <c r="G25" s="240">
        <f t="shared" si="1"/>
        <v>51.441711949716073</v>
      </c>
      <c r="H25" s="240">
        <f>Черн!CW22</f>
        <v>182927</v>
      </c>
      <c r="I25" s="240">
        <f>Черн!CY22</f>
        <v>99064.436760000011</v>
      </c>
      <c r="J25" s="241">
        <f t="shared" si="2"/>
        <v>54.155174883970112</v>
      </c>
      <c r="K25" s="240">
        <f t="shared" si="3"/>
        <v>15.544218459519666</v>
      </c>
      <c r="L25" s="240">
        <f t="shared" si="4"/>
        <v>19.519201557792062</v>
      </c>
      <c r="M25" s="240">
        <f>Черн!CS22</f>
        <v>867423.82218999998</v>
      </c>
      <c r="N25" s="240">
        <f>Черн!CT22</f>
        <v>348365.86749999999</v>
      </c>
      <c r="O25" s="240">
        <f t="shared" si="5"/>
        <v>40.160975360403945</v>
      </c>
      <c r="P25" s="240">
        <f>Черн!AZ22</f>
        <v>854014.92237000004</v>
      </c>
      <c r="Q25" s="240">
        <f>Черн!BA22</f>
        <v>334996.34232000005</v>
      </c>
      <c r="R25" s="241">
        <f t="shared" si="6"/>
        <v>39.226052560105458</v>
      </c>
      <c r="S25" s="240">
        <f t="shared" si="7"/>
        <v>72.569902316273755</v>
      </c>
      <c r="T25" s="242">
        <f t="shared" si="8"/>
        <v>66.006140454910792</v>
      </c>
    </row>
    <row r="26" spans="1:20" x14ac:dyDescent="0.3">
      <c r="A26" s="250" t="s">
        <v>179</v>
      </c>
      <c r="B26" s="240">
        <f>Черн!AD23</f>
        <v>994050.19994000008</v>
      </c>
      <c r="C26" s="240">
        <f>Черн!AE23</f>
        <v>532131.01610999997</v>
      </c>
      <c r="D26" s="240">
        <f t="shared" si="0"/>
        <v>53.531603951401941</v>
      </c>
      <c r="E26" s="240">
        <f>Черн!BG23</f>
        <v>237196.927</v>
      </c>
      <c r="F26" s="240">
        <f>Черн!BL23</f>
        <v>110096.81985</v>
      </c>
      <c r="G26" s="240">
        <f t="shared" si="1"/>
        <v>46.415786765230727</v>
      </c>
      <c r="H26" s="240">
        <f>Черн!CW23</f>
        <v>123026.12</v>
      </c>
      <c r="I26" s="240">
        <f>Черн!CY23</f>
        <v>61452.117920000004</v>
      </c>
      <c r="J26" s="240">
        <f t="shared" si="2"/>
        <v>49.950464112824179</v>
      </c>
      <c r="K26" s="240">
        <f t="shared" si="3"/>
        <v>12.376248202296598</v>
      </c>
      <c r="L26" s="240">
        <f t="shared" si="4"/>
        <v>11.548305973447876</v>
      </c>
      <c r="M26" s="240">
        <f>Черн!CS23</f>
        <v>756853.27294000005</v>
      </c>
      <c r="N26" s="240">
        <f>Черн!CT23</f>
        <v>422034.19625999994</v>
      </c>
      <c r="O26" s="240">
        <f t="shared" si="5"/>
        <v>55.761692701757916</v>
      </c>
      <c r="P26" s="240">
        <f>Черн!AZ23</f>
        <v>759776.33380999998</v>
      </c>
      <c r="Q26" s="240">
        <f>Черн!BA23</f>
        <v>424957.25712999998</v>
      </c>
      <c r="R26" s="240">
        <f t="shared" si="6"/>
        <v>55.931889191519694</v>
      </c>
      <c r="S26" s="240">
        <f t="shared" si="7"/>
        <v>76.432390824513618</v>
      </c>
      <c r="T26" s="242">
        <f t="shared" si="8"/>
        <v>79.859516597347636</v>
      </c>
    </row>
    <row r="27" spans="1:20" x14ac:dyDescent="0.3">
      <c r="A27" s="250" t="s">
        <v>180</v>
      </c>
      <c r="B27" s="240">
        <f>Черн!AD24</f>
        <v>942638.60161000001</v>
      </c>
      <c r="C27" s="240">
        <f>Черн!AE24</f>
        <v>450217.06648000004</v>
      </c>
      <c r="D27" s="240">
        <f t="shared" si="0"/>
        <v>47.761365353704178</v>
      </c>
      <c r="E27" s="240">
        <f>Черн!BG24</f>
        <v>167264.27247999999</v>
      </c>
      <c r="F27" s="240">
        <f>Черн!BL24</f>
        <v>83311.268380000009</v>
      </c>
      <c r="G27" s="240">
        <f t="shared" si="1"/>
        <v>49.808167126641855</v>
      </c>
      <c r="H27" s="240">
        <f>Черн!CW24</f>
        <v>81720</v>
      </c>
      <c r="I27" s="240">
        <f>Черн!CY24</f>
        <v>36684.73072</v>
      </c>
      <c r="J27" s="240">
        <f t="shared" si="2"/>
        <v>44.890762016642192</v>
      </c>
      <c r="K27" s="240">
        <f t="shared" si="3"/>
        <v>8.6692821469887367</v>
      </c>
      <c r="L27" s="240">
        <f t="shared" si="4"/>
        <v>8.1482319199531386</v>
      </c>
      <c r="M27" s="240">
        <f>Черн!CS24</f>
        <v>775374.32912999997</v>
      </c>
      <c r="N27" s="240">
        <f>Черн!CT24</f>
        <v>366905.79810000001</v>
      </c>
      <c r="O27" s="240">
        <f t="shared" si="5"/>
        <v>47.319827896763428</v>
      </c>
      <c r="P27" s="240">
        <f>Черн!AZ24</f>
        <v>853996.48942999984</v>
      </c>
      <c r="Q27" s="240">
        <f>Черн!BA24</f>
        <v>445527.9584</v>
      </c>
      <c r="R27" s="240">
        <f t="shared" si="6"/>
        <v>52.169764620152911</v>
      </c>
      <c r="S27" s="241">
        <f t="shared" si="7"/>
        <v>90.596384231602457</v>
      </c>
      <c r="T27" s="258">
        <f t="shared" si="8"/>
        <v>98.958478380959306</v>
      </c>
    </row>
    <row r="28" spans="1:20" x14ac:dyDescent="0.3">
      <c r="A28" s="250" t="s">
        <v>181</v>
      </c>
      <c r="B28" s="240">
        <f>Черн!AD25</f>
        <v>389330.80131000001</v>
      </c>
      <c r="C28" s="240">
        <f>Черн!AE25</f>
        <v>197212.63844000001</v>
      </c>
      <c r="D28" s="240">
        <f t="shared" si="0"/>
        <v>50.654260535367143</v>
      </c>
      <c r="E28" s="240">
        <f>Черн!BG25</f>
        <v>85509.264370000004</v>
      </c>
      <c r="F28" s="240">
        <f>Черн!BL25</f>
        <v>36379.416170000004</v>
      </c>
      <c r="G28" s="240">
        <f t="shared" si="1"/>
        <v>42.544414851454768</v>
      </c>
      <c r="H28" s="240">
        <f>Черн!CW25</f>
        <v>36056</v>
      </c>
      <c r="I28" s="240">
        <f>Черн!CY25</f>
        <v>15793.70011</v>
      </c>
      <c r="J28" s="240">
        <f t="shared" si="2"/>
        <v>43.803250804304412</v>
      </c>
      <c r="K28" s="240">
        <f t="shared" si="3"/>
        <v>9.2610191330047993</v>
      </c>
      <c r="L28" s="240">
        <f t="shared" si="4"/>
        <v>8.0084624570372434</v>
      </c>
      <c r="M28" s="240">
        <f>Черн!CS25</f>
        <v>303821.53694000002</v>
      </c>
      <c r="N28" s="240">
        <f>Черн!CT25</f>
        <v>160833.22227</v>
      </c>
      <c r="O28" s="240">
        <f t="shared" si="5"/>
        <v>52.936741710236966</v>
      </c>
      <c r="P28" s="240">
        <f>Черн!AZ25</f>
        <v>305473.88694</v>
      </c>
      <c r="Q28" s="240">
        <f>Черн!BA25</f>
        <v>162485.57227</v>
      </c>
      <c r="R28" s="240">
        <f t="shared" si="6"/>
        <v>53.191313305911081</v>
      </c>
      <c r="S28" s="240">
        <f t="shared" si="7"/>
        <v>78.461268903502457</v>
      </c>
      <c r="T28" s="242">
        <f t="shared" si="8"/>
        <v>82.391054424960004</v>
      </c>
    </row>
    <row r="29" spans="1:20" x14ac:dyDescent="0.3">
      <c r="A29" s="250" t="s">
        <v>182</v>
      </c>
      <c r="B29" s="240">
        <f>Черн!AD26</f>
        <v>7779319.9404100003</v>
      </c>
      <c r="C29" s="240">
        <f>Черн!AE26</f>
        <v>3847975.5858</v>
      </c>
      <c r="D29" s="240">
        <f t="shared" si="0"/>
        <v>49.464164159279932</v>
      </c>
      <c r="E29" s="240">
        <f>Черн!BG26</f>
        <v>4161756.12371</v>
      </c>
      <c r="F29" s="240">
        <f>Черн!BL26</f>
        <v>1943511.89411</v>
      </c>
      <c r="G29" s="240">
        <f t="shared" si="1"/>
        <v>46.699322025084328</v>
      </c>
      <c r="H29" s="240">
        <f>Черн!CW26</f>
        <v>2587534.6</v>
      </c>
      <c r="I29" s="240">
        <f>Черн!CY26</f>
        <v>1167209.05568</v>
      </c>
      <c r="J29" s="240">
        <f t="shared" si="2"/>
        <v>45.108925526251895</v>
      </c>
      <c r="K29" s="240">
        <f t="shared" si="3"/>
        <v>33.261706933519271</v>
      </c>
      <c r="L29" s="240">
        <f t="shared" si="4"/>
        <v>30.333068119956263</v>
      </c>
      <c r="M29" s="240">
        <f>Черн!CS26</f>
        <v>3617563.8166999999</v>
      </c>
      <c r="N29" s="240">
        <f>Черн!CT26</f>
        <v>1904463.69169</v>
      </c>
      <c r="O29" s="240">
        <f t="shared" si="5"/>
        <v>52.644923163436623</v>
      </c>
      <c r="P29" s="240">
        <f>Черн!AZ26</f>
        <v>3620003.6176900002</v>
      </c>
      <c r="Q29" s="240">
        <f>Черн!BA26</f>
        <v>1906903.4926800001</v>
      </c>
      <c r="R29" s="240">
        <f t="shared" si="6"/>
        <v>52.676839419758231</v>
      </c>
      <c r="S29" s="240">
        <f t="shared" si="7"/>
        <v>46.53367704914335</v>
      </c>
      <c r="T29" s="242">
        <f t="shared" si="8"/>
        <v>49.556018487148279</v>
      </c>
    </row>
    <row r="30" spans="1:20" x14ac:dyDescent="0.3">
      <c r="A30" s="250" t="s">
        <v>183</v>
      </c>
      <c r="B30" s="240">
        <f>Черн!AD27</f>
        <v>5747081.03357</v>
      </c>
      <c r="C30" s="240">
        <f>Черн!AE27</f>
        <v>2686942.67435</v>
      </c>
      <c r="D30" s="240">
        <f t="shared" si="0"/>
        <v>46.753171891173281</v>
      </c>
      <c r="E30" s="240">
        <f>Черн!BG27</f>
        <v>3192823.6265199999</v>
      </c>
      <c r="F30" s="240">
        <f>Черн!BL27</f>
        <v>1467797.20404</v>
      </c>
      <c r="G30" s="240">
        <f t="shared" si="1"/>
        <v>45.971759662772769</v>
      </c>
      <c r="H30" s="240">
        <f>Черн!CW27</f>
        <v>2200609.9</v>
      </c>
      <c r="I30" s="240">
        <f>Черн!CY27</f>
        <v>1015257.39706</v>
      </c>
      <c r="J30" s="240">
        <f t="shared" si="2"/>
        <v>46.13527354666541</v>
      </c>
      <c r="K30" s="241">
        <f t="shared" si="3"/>
        <v>38.290914764307999</v>
      </c>
      <c r="L30" s="241">
        <f t="shared" si="4"/>
        <v>37.784855134864443</v>
      </c>
      <c r="M30" s="240">
        <f>Черн!CS27</f>
        <v>2554257.40705</v>
      </c>
      <c r="N30" s="240">
        <f>Черн!CT27</f>
        <v>1219145.47031</v>
      </c>
      <c r="O30" s="240">
        <f t="shared" si="5"/>
        <v>47.729937748053089</v>
      </c>
      <c r="P30" s="240">
        <f>Черн!AZ27</f>
        <v>2777073.8998099999</v>
      </c>
      <c r="Q30" s="240">
        <f>Черн!BA27</f>
        <v>1441961.9630699998</v>
      </c>
      <c r="R30" s="240">
        <f t="shared" si="6"/>
        <v>51.923787954244041</v>
      </c>
      <c r="S30" s="240">
        <f t="shared" si="7"/>
        <v>48.321467603962482</v>
      </c>
      <c r="T30" s="242">
        <f t="shared" si="8"/>
        <v>53.665527621233146</v>
      </c>
    </row>
    <row r="31" spans="1:20" x14ac:dyDescent="0.3">
      <c r="A31" s="250" t="s">
        <v>184</v>
      </c>
      <c r="B31" s="240">
        <f>Черн!AD28</f>
        <v>1687618.3470000001</v>
      </c>
      <c r="C31" s="240">
        <f>Черн!AE28</f>
        <v>847843.72090999992</v>
      </c>
      <c r="D31" s="240">
        <f t="shared" si="0"/>
        <v>50.239067524785561</v>
      </c>
      <c r="E31" s="240">
        <f>Черн!BG28</f>
        <v>735021.9</v>
      </c>
      <c r="F31" s="240">
        <f>Черн!BL28</f>
        <v>350785.55144000001</v>
      </c>
      <c r="G31" s="240">
        <f t="shared" si="1"/>
        <v>47.724503370579846</v>
      </c>
      <c r="H31" s="240">
        <f>Черн!CW28</f>
        <v>424710.40000000002</v>
      </c>
      <c r="I31" s="240">
        <f>Черн!CY28</f>
        <v>200654.75128</v>
      </c>
      <c r="J31" s="240">
        <f t="shared" si="2"/>
        <v>47.245076004731693</v>
      </c>
      <c r="K31" s="240">
        <f t="shared" si="3"/>
        <v>25.166258754829716</v>
      </c>
      <c r="L31" s="240">
        <f t="shared" si="4"/>
        <v>23.666478424188256</v>
      </c>
      <c r="M31" s="240">
        <f>Черн!CS28</f>
        <v>952596.44700000004</v>
      </c>
      <c r="N31" s="240">
        <f>Черн!CT28</f>
        <v>497058.16947000002</v>
      </c>
      <c r="O31" s="240">
        <f t="shared" si="5"/>
        <v>52.179301217779994</v>
      </c>
      <c r="P31" s="240">
        <f>Черн!AZ28</f>
        <v>952338.44700000004</v>
      </c>
      <c r="Q31" s="240">
        <f>Черн!BA28</f>
        <v>497350.16110999999</v>
      </c>
      <c r="R31" s="240">
        <f t="shared" si="6"/>
        <v>52.22409771197654</v>
      </c>
      <c r="S31" s="240">
        <f t="shared" si="7"/>
        <v>56.430913345598988</v>
      </c>
      <c r="T31" s="242">
        <f t="shared" si="8"/>
        <v>58.660593791529017</v>
      </c>
    </row>
    <row r="32" spans="1:20" x14ac:dyDescent="0.3">
      <c r="A32" s="250" t="s">
        <v>185</v>
      </c>
      <c r="B32" s="240">
        <f>Черн!AD29</f>
        <v>918970.91665000003</v>
      </c>
      <c r="C32" s="240">
        <f>Черн!AE29</f>
        <v>478356.71798000002</v>
      </c>
      <c r="D32" s="240">
        <f t="shared" si="0"/>
        <v>52.053520880050584</v>
      </c>
      <c r="E32" s="240">
        <f>Черн!BG29</f>
        <v>340810.2</v>
      </c>
      <c r="F32" s="240">
        <f>Черн!BL29</f>
        <v>171975.95105</v>
      </c>
      <c r="G32" s="240">
        <f t="shared" si="1"/>
        <v>50.460916677376439</v>
      </c>
      <c r="H32" s="240">
        <f>Черн!CW29</f>
        <v>217097</v>
      </c>
      <c r="I32" s="240">
        <f>Черн!CY29</f>
        <v>108456.30576999999</v>
      </c>
      <c r="J32" s="240">
        <f t="shared" si="2"/>
        <v>49.957533162595524</v>
      </c>
      <c r="K32" s="240">
        <f t="shared" si="3"/>
        <v>23.623924986810405</v>
      </c>
      <c r="L32" s="240">
        <f t="shared" si="4"/>
        <v>22.672683730248046</v>
      </c>
      <c r="M32" s="240">
        <f>Черн!CS29</f>
        <v>578160.71664999996</v>
      </c>
      <c r="N32" s="240">
        <f>Черн!CT29</f>
        <v>306380.76692999998</v>
      </c>
      <c r="O32" s="240">
        <f t="shared" si="5"/>
        <v>52.992318244180034</v>
      </c>
      <c r="P32" s="240">
        <f>Черн!AZ29</f>
        <v>579013.86162999994</v>
      </c>
      <c r="Q32" s="240">
        <f>Черн!BA29</f>
        <v>307233.91191000002</v>
      </c>
      <c r="R32" s="240">
        <f t="shared" si="6"/>
        <v>53.061581469758991</v>
      </c>
      <c r="S32" s="240">
        <f t="shared" si="7"/>
        <v>63.006766714742895</v>
      </c>
      <c r="T32" s="242">
        <f t="shared" si="8"/>
        <v>64.226946201860471</v>
      </c>
    </row>
    <row r="33" spans="1:20" x14ac:dyDescent="0.3">
      <c r="A33" s="250" t="s">
        <v>186</v>
      </c>
      <c r="B33" s="240">
        <f>Черн!AD30</f>
        <v>838532.97432000004</v>
      </c>
      <c r="C33" s="240">
        <f>Черн!AE30</f>
        <v>437910.41510000004</v>
      </c>
      <c r="D33" s="240">
        <f t="shared" si="0"/>
        <v>52.223398305250804</v>
      </c>
      <c r="E33" s="240">
        <f>Черн!BG30</f>
        <v>381581.5</v>
      </c>
      <c r="F33" s="240">
        <f>Черн!BL30</f>
        <v>201833.97865</v>
      </c>
      <c r="G33" s="241">
        <f t="shared" si="1"/>
        <v>52.89406814795791</v>
      </c>
      <c r="H33" s="240">
        <f>Черн!CW30</f>
        <v>252799.1</v>
      </c>
      <c r="I33" s="240">
        <f>Черн!CY30</f>
        <v>128515.01095</v>
      </c>
      <c r="J33" s="240">
        <f t="shared" si="2"/>
        <v>50.836815063819451</v>
      </c>
      <c r="K33" s="240">
        <f t="shared" si="3"/>
        <v>30.147782823329628</v>
      </c>
      <c r="L33" s="240">
        <f t="shared" si="4"/>
        <v>29.347329161068856</v>
      </c>
      <c r="M33" s="240">
        <f>Черн!CS30</f>
        <v>456951.47431999998</v>
      </c>
      <c r="N33" s="240">
        <f>Черн!CT30</f>
        <v>236076.43644999998</v>
      </c>
      <c r="O33" s="240">
        <f t="shared" si="5"/>
        <v>51.66334933076007</v>
      </c>
      <c r="P33" s="240">
        <f>Черн!AZ30</f>
        <v>457578.92</v>
      </c>
      <c r="Q33" s="240">
        <f>Черн!BA30</f>
        <v>236717.71796000001</v>
      </c>
      <c r="R33" s="240">
        <f t="shared" si="6"/>
        <v>51.732653672070384</v>
      </c>
      <c r="S33" s="240">
        <f t="shared" si="7"/>
        <v>54.568983452447895</v>
      </c>
      <c r="T33" s="242">
        <f t="shared" si="8"/>
        <v>54.056197294586788</v>
      </c>
    </row>
    <row r="34" spans="1:20" x14ac:dyDescent="0.3">
      <c r="A34" s="250" t="s">
        <v>187</v>
      </c>
      <c r="B34" s="240">
        <f>Черн!AD31</f>
        <v>1033949.2460700001</v>
      </c>
      <c r="C34" s="240">
        <f>Черн!AE31</f>
        <v>454798.49033999996</v>
      </c>
      <c r="D34" s="240">
        <f t="shared" si="0"/>
        <v>43.986539191229248</v>
      </c>
      <c r="E34" s="240">
        <f>Черн!BG31</f>
        <v>513980</v>
      </c>
      <c r="F34" s="240">
        <f>Черн!BL31</f>
        <v>224830.66892</v>
      </c>
      <c r="G34" s="240">
        <f t="shared" si="1"/>
        <v>43.7430773415308</v>
      </c>
      <c r="H34" s="240">
        <f>Черн!CW31</f>
        <v>357854</v>
      </c>
      <c r="I34" s="240">
        <f>Черн!CY31</f>
        <v>147789.05911</v>
      </c>
      <c r="J34" s="241">
        <f t="shared" si="2"/>
        <v>41.298702574234184</v>
      </c>
      <c r="K34" s="241">
        <f t="shared" si="3"/>
        <v>34.610402914861517</v>
      </c>
      <c r="L34" s="240">
        <f t="shared" si="4"/>
        <v>32.495503448024927</v>
      </c>
      <c r="M34" s="240">
        <f>Черн!CS31</f>
        <v>519969.24606999999</v>
      </c>
      <c r="N34" s="240">
        <f>Черн!CT31</f>
        <v>229967.82141999999</v>
      </c>
      <c r="O34" s="240">
        <f t="shared" si="5"/>
        <v>44.227196734831686</v>
      </c>
      <c r="P34" s="240">
        <f>Черн!AZ31</f>
        <v>524095.75101000001</v>
      </c>
      <c r="Q34" s="240">
        <f>Черн!BA31</f>
        <v>234094.32636000001</v>
      </c>
      <c r="R34" s="241">
        <f t="shared" si="6"/>
        <v>44.666327843503808</v>
      </c>
      <c r="S34" s="240">
        <f t="shared" si="7"/>
        <v>50.688730902611233</v>
      </c>
      <c r="T34" s="242">
        <f t="shared" si="8"/>
        <v>51.47209837591916</v>
      </c>
    </row>
    <row r="35" spans="1:20" x14ac:dyDescent="0.3">
      <c r="A35" s="250" t="s">
        <v>188</v>
      </c>
      <c r="B35" s="240">
        <f>Черн!AD32</f>
        <v>95096.85411</v>
      </c>
      <c r="C35" s="240">
        <f>Черн!AE32</f>
        <v>39871.15812</v>
      </c>
      <c r="D35" s="241">
        <f t="shared" si="0"/>
        <v>41.926894946367433</v>
      </c>
      <c r="E35" s="240">
        <f>Черн!BG32</f>
        <v>87253.254109999994</v>
      </c>
      <c r="F35" s="240">
        <f>Черн!BL32</f>
        <v>35816.12298</v>
      </c>
      <c r="G35" s="241">
        <f t="shared" si="1"/>
        <v>41.048466725202815</v>
      </c>
      <c r="H35" s="240">
        <f>Черн!CW32</f>
        <v>86312.1</v>
      </c>
      <c r="I35" s="240">
        <f>Черн!CY32</f>
        <v>35328.179939999995</v>
      </c>
      <c r="J35" s="241">
        <f t="shared" si="2"/>
        <v>40.930738494370999</v>
      </c>
      <c r="K35" s="241">
        <f t="shared" si="3"/>
        <v>90.762308393673536</v>
      </c>
      <c r="L35" s="241">
        <f t="shared" si="4"/>
        <v>88.605853468497131</v>
      </c>
      <c r="M35" s="240">
        <f>Черн!CS32</f>
        <v>7843.6</v>
      </c>
      <c r="N35" s="240">
        <f>Черн!CT32</f>
        <v>4055.03514</v>
      </c>
      <c r="O35" s="240">
        <f t="shared" si="5"/>
        <v>51.698647814778923</v>
      </c>
      <c r="P35" s="240">
        <f>Черн!AZ32</f>
        <v>7843.6</v>
      </c>
      <c r="Q35" s="240">
        <f>Черн!BA32</f>
        <v>4061.2351400000002</v>
      </c>
      <c r="R35" s="240">
        <f t="shared" si="6"/>
        <v>51.777693151104081</v>
      </c>
      <c r="S35" s="241">
        <f t="shared" si="7"/>
        <v>8.2480120645496715</v>
      </c>
      <c r="T35" s="258">
        <f t="shared" si="8"/>
        <v>10.185897103306916</v>
      </c>
    </row>
    <row r="36" spans="1:20" s="256" customFormat="1" ht="13.8" thickBot="1" x14ac:dyDescent="0.35">
      <c r="A36" s="255" t="s">
        <v>189</v>
      </c>
      <c r="B36" s="253">
        <f>Черн!AD33</f>
        <v>31800967.671099998</v>
      </c>
      <c r="C36" s="253">
        <f>Черн!AE33</f>
        <v>15359806.812249999</v>
      </c>
      <c r="D36" s="253">
        <f t="shared" si="0"/>
        <v>48.299809525005884</v>
      </c>
      <c r="E36" s="253">
        <f>Черн!BG33</f>
        <v>12832128.623249998</v>
      </c>
      <c r="F36" s="253">
        <f>Черн!BL33</f>
        <v>5969462.5233900007</v>
      </c>
      <c r="G36" s="253">
        <f t="shared" si="1"/>
        <v>46.519659353898469</v>
      </c>
      <c r="H36" s="253">
        <f>Черн!CW33</f>
        <v>7956702.0099999998</v>
      </c>
      <c r="I36" s="253">
        <f>Черн!CY33</f>
        <v>3697610.0294299996</v>
      </c>
      <c r="J36" s="253">
        <f t="shared" si="2"/>
        <v>46.471641451229864</v>
      </c>
      <c r="K36" s="253">
        <f t="shared" si="3"/>
        <v>25.020314137267185</v>
      </c>
      <c r="L36" s="253">
        <f t="shared" si="4"/>
        <v>24.073284740020444</v>
      </c>
      <c r="M36" s="253">
        <f>Черн!CS33</f>
        <v>18968839.047850002</v>
      </c>
      <c r="N36" s="253">
        <f>Черн!CT33</f>
        <v>9390344.2888600025</v>
      </c>
      <c r="O36" s="253">
        <f t="shared" si="5"/>
        <v>49.504053807258906</v>
      </c>
      <c r="P36" s="253">
        <f>Черн!AZ33</f>
        <v>19853506.126560006</v>
      </c>
      <c r="Q36" s="253">
        <f>Черн!BA33</f>
        <v>10273250.19496</v>
      </c>
      <c r="R36" s="253">
        <f t="shared" si="6"/>
        <v>51.745269220817647</v>
      </c>
      <c r="S36" s="253">
        <f t="shared" si="7"/>
        <v>62.430509448309728</v>
      </c>
      <c r="T36" s="254">
        <f t="shared" si="8"/>
        <v>66.883980511829819</v>
      </c>
    </row>
    <row r="37" spans="1:20" ht="13.8" thickTop="1" x14ac:dyDescent="0.25"/>
  </sheetData>
  <autoFilter ref="A9:T36"/>
  <mergeCells count="13">
    <mergeCell ref="P7:R7"/>
    <mergeCell ref="S7:T7"/>
    <mergeCell ref="Q1:T1"/>
    <mergeCell ref="A3:T3"/>
    <mergeCell ref="A5:A8"/>
    <mergeCell ref="B5:D7"/>
    <mergeCell ref="E5:T5"/>
    <mergeCell ref="E6:G7"/>
    <mergeCell ref="H6:L6"/>
    <mergeCell ref="M6:O7"/>
    <mergeCell ref="P6:T6"/>
    <mergeCell ref="H7:J7"/>
    <mergeCell ref="K7:L7"/>
  </mergeCells>
  <pageMargins left="0" right="0" top="1.1417322834645669" bottom="0.74803149606299213" header="0.70866141732283472" footer="0.31496062992125984"/>
  <pageSetup paperSize="9" scale="71" orientation="landscape" r:id="rId1"/>
  <headerFooter>
    <oddFooter>&amp;CСтраница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0"/>
  <sheetViews>
    <sheetView topLeftCell="A4" zoomScaleNormal="100" workbookViewId="0">
      <pane xSplit="8" ySplit="6" topLeftCell="I10" activePane="bottomRight" state="frozen"/>
      <selection activeCell="M8" sqref="M8"/>
      <selection pane="topRight" activeCell="M8" sqref="M8"/>
      <selection pane="bottomLeft" activeCell="M8" sqref="M8"/>
      <selection pane="bottomRight" activeCell="M8" sqref="M8"/>
    </sheetView>
  </sheetViews>
  <sheetFormatPr defaultColWidth="8.88671875" defaultRowHeight="13.2" x14ac:dyDescent="0.3"/>
  <cols>
    <col min="1" max="1" width="66.44140625" style="308" customWidth="1"/>
    <col min="2" max="2" width="18.6640625" style="308" hidden="1" customWidth="1"/>
    <col min="3" max="3" width="19.6640625" style="308" hidden="1" customWidth="1"/>
    <col min="4" max="4" width="15.6640625" style="308" hidden="1" customWidth="1"/>
    <col min="5" max="5" width="20.109375" style="308" hidden="1" customWidth="1"/>
    <col min="6" max="6" width="17.33203125" style="308" hidden="1" customWidth="1"/>
    <col min="7" max="7" width="16.6640625" style="308" hidden="1" customWidth="1"/>
    <col min="8" max="10" width="15.44140625" style="308" hidden="1" customWidth="1"/>
    <col min="11" max="13" width="11.6640625" style="308" bestFit="1" customWidth="1"/>
    <col min="14" max="15" width="8.88671875" style="308"/>
    <col min="16" max="17" width="0" style="319" hidden="1" customWidth="1"/>
    <col min="18" max="18" width="8.88671875" style="320"/>
    <col min="19" max="16384" width="8.88671875" style="308"/>
  </cols>
  <sheetData>
    <row r="1" spans="1:17" x14ac:dyDescent="0.3">
      <c r="C1" s="416" t="s">
        <v>275</v>
      </c>
      <c r="D1" s="416"/>
      <c r="E1" s="416"/>
      <c r="F1" s="416"/>
      <c r="G1" s="417"/>
      <c r="H1" s="417"/>
      <c r="I1" s="309"/>
      <c r="J1" s="309"/>
      <c r="O1" s="310" t="s">
        <v>275</v>
      </c>
    </row>
    <row r="3" spans="1:17" ht="13.95" customHeight="1" x14ac:dyDescent="0.3">
      <c r="A3" s="418" t="s">
        <v>361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</row>
    <row r="4" spans="1:17" ht="13.95" customHeight="1" x14ac:dyDescent="0.3">
      <c r="A4" s="311"/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</row>
    <row r="5" spans="1:17" ht="13.8" thickBot="1" x14ac:dyDescent="0.35">
      <c r="A5" s="312"/>
      <c r="B5" s="312"/>
      <c r="H5" s="313"/>
      <c r="I5" s="313"/>
      <c r="J5" s="313"/>
      <c r="O5" s="310" t="s">
        <v>276</v>
      </c>
    </row>
    <row r="6" spans="1:17" ht="27" customHeight="1" thickTop="1" x14ac:dyDescent="0.3">
      <c r="A6" s="419" t="s">
        <v>233</v>
      </c>
      <c r="B6" s="421" t="s">
        <v>236</v>
      </c>
      <c r="C6" s="413" t="s">
        <v>277</v>
      </c>
      <c r="D6" s="413" t="s">
        <v>234</v>
      </c>
      <c r="E6" s="413" t="s">
        <v>278</v>
      </c>
      <c r="F6" s="413" t="s">
        <v>279</v>
      </c>
      <c r="G6" s="413" t="s">
        <v>280</v>
      </c>
      <c r="H6" s="423"/>
      <c r="I6" s="423" t="s">
        <v>362</v>
      </c>
      <c r="J6" s="423"/>
      <c r="K6" s="413" t="s">
        <v>277</v>
      </c>
      <c r="L6" s="413" t="s">
        <v>234</v>
      </c>
      <c r="M6" s="413" t="s">
        <v>365</v>
      </c>
      <c r="N6" s="413" t="s">
        <v>280</v>
      </c>
      <c r="O6" s="415"/>
    </row>
    <row r="7" spans="1:17" ht="92.4" x14ac:dyDescent="0.3">
      <c r="A7" s="420"/>
      <c r="B7" s="422"/>
      <c r="C7" s="414"/>
      <c r="D7" s="414"/>
      <c r="E7" s="414"/>
      <c r="F7" s="414"/>
      <c r="G7" s="321" t="s">
        <v>281</v>
      </c>
      <c r="H7" s="321" t="s">
        <v>282</v>
      </c>
      <c r="I7" s="321" t="s">
        <v>363</v>
      </c>
      <c r="J7" s="321" t="s">
        <v>364</v>
      </c>
      <c r="K7" s="414"/>
      <c r="L7" s="414"/>
      <c r="M7" s="414"/>
      <c r="N7" s="321" t="s">
        <v>281</v>
      </c>
      <c r="O7" s="325" t="s">
        <v>282</v>
      </c>
    </row>
    <row r="8" spans="1:17" x14ac:dyDescent="0.3">
      <c r="A8" s="326" t="s">
        <v>13</v>
      </c>
      <c r="B8" s="324" t="s">
        <v>199</v>
      </c>
      <c r="C8" s="324">
        <v>5</v>
      </c>
      <c r="D8" s="324">
        <v>6</v>
      </c>
      <c r="E8" s="324">
        <v>7</v>
      </c>
      <c r="F8" s="324">
        <v>8</v>
      </c>
      <c r="G8" s="324">
        <v>9</v>
      </c>
      <c r="H8" s="324">
        <v>10</v>
      </c>
      <c r="I8" s="324"/>
      <c r="J8" s="324"/>
      <c r="K8" s="324">
        <v>1</v>
      </c>
      <c r="L8" s="324">
        <v>2</v>
      </c>
      <c r="M8" s="324">
        <v>3</v>
      </c>
      <c r="N8" s="324">
        <v>4</v>
      </c>
      <c r="O8" s="327">
        <v>5</v>
      </c>
    </row>
    <row r="9" spans="1:17" x14ac:dyDescent="0.3">
      <c r="A9" s="328" t="s">
        <v>283</v>
      </c>
      <c r="B9" s="314">
        <v>61818593.799999997</v>
      </c>
      <c r="C9" s="314">
        <v>64549064.020375021</v>
      </c>
      <c r="D9" s="314">
        <v>32860029.046179995</v>
      </c>
      <c r="E9" s="314">
        <v>32728022.30512999</v>
      </c>
      <c r="F9" s="314">
        <v>32149297.877460007</v>
      </c>
      <c r="G9" s="314">
        <v>49.805986136858664</v>
      </c>
      <c r="H9" s="314">
        <v>97.837095129401263</v>
      </c>
      <c r="I9" s="314">
        <f>I11+I12+I13+I14+I15+I16+I17+I18+I19+I20+I21+I22+I23+I24+I25+I26+I27+I28+I29+I30+I31+I32</f>
        <v>63967.451899999993</v>
      </c>
      <c r="J9" s="314">
        <f>J11+J12+J13+J14+J15+J16+J17+J18+J19+J20+J21+J22+J23+J24+J25+J26+J27+J28+J29+J30+J31+J32</f>
        <v>32143.603560999996</v>
      </c>
      <c r="K9" s="314">
        <f>+C9/1000</f>
        <v>64549.064020375023</v>
      </c>
      <c r="L9" s="314">
        <f>+D9/1000</f>
        <v>32860.029046179996</v>
      </c>
      <c r="M9" s="314">
        <f>+F9/1000</f>
        <v>32149.297877460005</v>
      </c>
      <c r="N9" s="314">
        <f>+G9</f>
        <v>49.805986136858664</v>
      </c>
      <c r="O9" s="329">
        <f>+H9</f>
        <v>97.837095129401263</v>
      </c>
      <c r="P9" s="319">
        <f>K9-I9</f>
        <v>581.61212037502992</v>
      </c>
      <c r="Q9" s="319">
        <f>M9-J9</f>
        <v>5.6943164600088494</v>
      </c>
    </row>
    <row r="10" spans="1:17" x14ac:dyDescent="0.3">
      <c r="A10" s="330" t="s">
        <v>284</v>
      </c>
      <c r="B10" s="315" t="s">
        <v>235</v>
      </c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31"/>
    </row>
    <row r="11" spans="1:17" ht="26.4" x14ac:dyDescent="0.3">
      <c r="A11" s="330" t="s">
        <v>285</v>
      </c>
      <c r="B11" s="315">
        <v>12149240.4</v>
      </c>
      <c r="C11" s="315">
        <v>12489271.53792</v>
      </c>
      <c r="D11" s="315">
        <v>6093444.6892200001</v>
      </c>
      <c r="E11" s="315">
        <v>6088290.7332199998</v>
      </c>
      <c r="F11" s="315">
        <v>6052776.1163900001</v>
      </c>
      <c r="G11" s="315">
        <v>48.463804298053134</v>
      </c>
      <c r="H11" s="315">
        <v>99.332584852998707</v>
      </c>
      <c r="I11" s="315">
        <f>12481526.4/1000</f>
        <v>12481.526400000001</v>
      </c>
      <c r="J11" s="315">
        <f>6052776.15/1000</f>
        <v>6052.7761500000006</v>
      </c>
      <c r="K11" s="315">
        <f t="shared" ref="K11:K73" si="0">+C11/1000</f>
        <v>12489.27153792</v>
      </c>
      <c r="L11" s="315">
        <f t="shared" ref="L11:L32" si="1">+D11/1000</f>
        <v>6093.4446892200003</v>
      </c>
      <c r="M11" s="315">
        <f t="shared" ref="M11:M74" si="2">+F11/1000</f>
        <v>6052.7761163900004</v>
      </c>
      <c r="N11" s="315">
        <f t="shared" ref="N11:O73" si="3">+G11</f>
        <v>48.463804298053134</v>
      </c>
      <c r="O11" s="331">
        <f t="shared" si="3"/>
        <v>99.332584852998707</v>
      </c>
      <c r="P11" s="319">
        <f>K11-I11</f>
        <v>7.7451379199992516</v>
      </c>
      <c r="Q11" s="319">
        <f>M11-J11</f>
        <v>-3.3610000173212029E-5</v>
      </c>
    </row>
    <row r="12" spans="1:17" ht="26.4" x14ac:dyDescent="0.3">
      <c r="A12" s="330" t="s">
        <v>286</v>
      </c>
      <c r="B12" s="315">
        <v>17678255.399999999</v>
      </c>
      <c r="C12" s="315">
        <v>17742835.461475004</v>
      </c>
      <c r="D12" s="315">
        <v>10357734.10736</v>
      </c>
      <c r="E12" s="315">
        <v>10357205.85527</v>
      </c>
      <c r="F12" s="315">
        <v>10097360.24134</v>
      </c>
      <c r="G12" s="315">
        <v>56.909507295293281</v>
      </c>
      <c r="H12" s="315">
        <v>97.486188935522264</v>
      </c>
      <c r="I12" s="315">
        <f>17705729.9/1000</f>
        <v>17705.729899999998</v>
      </c>
      <c r="J12" s="315">
        <f>10097360.2/1000</f>
        <v>10097.360199999999</v>
      </c>
      <c r="K12" s="315">
        <f t="shared" si="0"/>
        <v>17742.835461475002</v>
      </c>
      <c r="L12" s="315">
        <f t="shared" si="1"/>
        <v>10357.73410736</v>
      </c>
      <c r="M12" s="315">
        <f t="shared" si="2"/>
        <v>10097.36024134</v>
      </c>
      <c r="N12" s="315">
        <f t="shared" si="3"/>
        <v>56.909507295293281</v>
      </c>
      <c r="O12" s="331">
        <f t="shared" si="3"/>
        <v>97.486188935522264</v>
      </c>
      <c r="P12" s="319">
        <f t="shared" ref="P12:P32" si="4">K12-I12</f>
        <v>37.105561475003924</v>
      </c>
      <c r="Q12" s="319">
        <f t="shared" ref="Q12:Q32" si="5">M12-J12</f>
        <v>4.1340001189382747E-5</v>
      </c>
    </row>
    <row r="13" spans="1:17" ht="26.4" x14ac:dyDescent="0.3">
      <c r="A13" s="330" t="s">
        <v>287</v>
      </c>
      <c r="B13" s="315">
        <v>10485472</v>
      </c>
      <c r="C13" s="315">
        <v>10550723.035</v>
      </c>
      <c r="D13" s="315">
        <v>5741751.3721499983</v>
      </c>
      <c r="E13" s="315">
        <v>5741007.269679998</v>
      </c>
      <c r="F13" s="315">
        <v>5683899.3350200001</v>
      </c>
      <c r="G13" s="315">
        <v>53.872131001493962</v>
      </c>
      <c r="H13" s="315">
        <v>98.992432214835944</v>
      </c>
      <c r="I13" s="315">
        <f>10486937.8/1000</f>
        <v>10486.937800000002</v>
      </c>
      <c r="J13" s="315">
        <f>5683899.26/1000</f>
        <v>5683.8992600000001</v>
      </c>
      <c r="K13" s="315">
        <f t="shared" si="0"/>
        <v>10550.723035000001</v>
      </c>
      <c r="L13" s="315">
        <f t="shared" si="1"/>
        <v>5741.7513721499981</v>
      </c>
      <c r="M13" s="315">
        <f t="shared" si="2"/>
        <v>5683.8993350199999</v>
      </c>
      <c r="N13" s="315">
        <f t="shared" si="3"/>
        <v>53.872131001493962</v>
      </c>
      <c r="O13" s="331">
        <f t="shared" si="3"/>
        <v>98.992432214835944</v>
      </c>
      <c r="P13" s="319">
        <f t="shared" si="4"/>
        <v>63.785234999999375</v>
      </c>
      <c r="Q13" s="319">
        <f t="shared" si="5"/>
        <v>7.5019999712822028E-5</v>
      </c>
    </row>
    <row r="14" spans="1:17" ht="26.4" x14ac:dyDescent="0.3">
      <c r="A14" s="330" t="s">
        <v>288</v>
      </c>
      <c r="B14" s="315">
        <v>911584.7</v>
      </c>
      <c r="C14" s="315">
        <v>1020778.3607399999</v>
      </c>
      <c r="D14" s="315">
        <v>474293.98783</v>
      </c>
      <c r="E14" s="315">
        <v>474293.98783</v>
      </c>
      <c r="F14" s="315">
        <v>472733.99393</v>
      </c>
      <c r="G14" s="315">
        <v>46.311130027021505</v>
      </c>
      <c r="H14" s="315">
        <v>99.671091361048596</v>
      </c>
      <c r="I14" s="315">
        <f>1024273.7/1000</f>
        <v>1024.2737</v>
      </c>
      <c r="J14" s="315">
        <f>472734/1000</f>
        <v>472.73399999999998</v>
      </c>
      <c r="K14" s="315">
        <f t="shared" si="0"/>
        <v>1020.7783607399999</v>
      </c>
      <c r="L14" s="315">
        <f t="shared" si="1"/>
        <v>474.29398782999999</v>
      </c>
      <c r="M14" s="315">
        <f t="shared" si="2"/>
        <v>472.73399393</v>
      </c>
      <c r="N14" s="315">
        <f t="shared" si="3"/>
        <v>46.311130027021505</v>
      </c>
      <c r="O14" s="331">
        <f t="shared" si="3"/>
        <v>99.671091361048596</v>
      </c>
      <c r="P14" s="319">
        <f t="shared" si="4"/>
        <v>-3.495339260000037</v>
      </c>
      <c r="Q14" s="319">
        <f t="shared" si="5"/>
        <v>-6.0699999835378549E-6</v>
      </c>
    </row>
    <row r="15" spans="1:17" ht="39.6" x14ac:dyDescent="0.3">
      <c r="A15" s="330" t="s">
        <v>289</v>
      </c>
      <c r="B15" s="315">
        <v>914766.3</v>
      </c>
      <c r="C15" s="315">
        <v>1128824.6000000001</v>
      </c>
      <c r="D15" s="315">
        <v>653262.32394000003</v>
      </c>
      <c r="E15" s="315">
        <v>652125.51850999997</v>
      </c>
      <c r="F15" s="315">
        <v>648847.06517000007</v>
      </c>
      <c r="G15" s="315">
        <v>57.479883515118289</v>
      </c>
      <c r="H15" s="315">
        <v>99.324121626459288</v>
      </c>
      <c r="I15" s="315">
        <f>1102340.5/1000</f>
        <v>1102.3405</v>
      </c>
      <c r="J15" s="315">
        <f>643153.2/1000</f>
        <v>643.15319999999997</v>
      </c>
      <c r="K15" s="315">
        <f t="shared" si="0"/>
        <v>1128.8246000000001</v>
      </c>
      <c r="L15" s="315">
        <f t="shared" si="1"/>
        <v>653.26232393999999</v>
      </c>
      <c r="M15" s="315">
        <f t="shared" si="2"/>
        <v>648.84706517000006</v>
      </c>
      <c r="N15" s="315">
        <f t="shared" si="3"/>
        <v>57.479883515118289</v>
      </c>
      <c r="O15" s="331">
        <f t="shared" si="3"/>
        <v>99.324121626459288</v>
      </c>
      <c r="P15" s="319">
        <f t="shared" si="4"/>
        <v>26.484100000000126</v>
      </c>
      <c r="Q15" s="319">
        <f t="shared" si="5"/>
        <v>5.6938651700000946</v>
      </c>
    </row>
    <row r="16" spans="1:17" ht="39.6" x14ac:dyDescent="0.3">
      <c r="A16" s="330" t="s">
        <v>290</v>
      </c>
      <c r="B16" s="315">
        <v>392775.6</v>
      </c>
      <c r="C16" s="315">
        <v>496438.24650999997</v>
      </c>
      <c r="D16" s="315">
        <v>274922.75070000003</v>
      </c>
      <c r="E16" s="315">
        <v>175360.36468</v>
      </c>
      <c r="F16" s="315">
        <v>140775.89627999999</v>
      </c>
      <c r="G16" s="315">
        <v>28.357181838761548</v>
      </c>
      <c r="H16" s="315">
        <v>51.205619004451485</v>
      </c>
      <c r="I16" s="315">
        <f>392775.6/1000</f>
        <v>392.7756</v>
      </c>
      <c r="J16" s="315">
        <f>140775.85/1000</f>
        <v>140.77585000000002</v>
      </c>
      <c r="K16" s="315">
        <f t="shared" si="0"/>
        <v>496.43824650999994</v>
      </c>
      <c r="L16" s="315">
        <f t="shared" si="1"/>
        <v>274.92275070000005</v>
      </c>
      <c r="M16" s="315">
        <f t="shared" si="2"/>
        <v>140.77589627999998</v>
      </c>
      <c r="N16" s="315">
        <f t="shared" si="3"/>
        <v>28.357181838761548</v>
      </c>
      <c r="O16" s="331">
        <f t="shared" si="3"/>
        <v>51.205619004451485</v>
      </c>
      <c r="P16" s="319">
        <f t="shared" si="4"/>
        <v>103.66264650999995</v>
      </c>
      <c r="Q16" s="319">
        <f t="shared" si="5"/>
        <v>4.6279999963871887E-5</v>
      </c>
    </row>
    <row r="17" spans="1:17" ht="39.6" x14ac:dyDescent="0.3">
      <c r="A17" s="330" t="s">
        <v>291</v>
      </c>
      <c r="B17" s="315">
        <v>902621.6</v>
      </c>
      <c r="C17" s="315">
        <v>918670.09487000015</v>
      </c>
      <c r="D17" s="315">
        <v>449078.80132999999</v>
      </c>
      <c r="E17" s="315">
        <v>449078.80132999999</v>
      </c>
      <c r="F17" s="315">
        <v>418386.22217999998</v>
      </c>
      <c r="G17" s="315">
        <v>45.542597338950635</v>
      </c>
      <c r="H17" s="315">
        <v>93.165435763367071</v>
      </c>
      <c r="I17" s="315">
        <f>907114.6/1000</f>
        <v>907.1146</v>
      </c>
      <c r="J17" s="315">
        <f>418386.2/1000</f>
        <v>418.38620000000003</v>
      </c>
      <c r="K17" s="315">
        <f t="shared" si="0"/>
        <v>918.67009487000018</v>
      </c>
      <c r="L17" s="315">
        <f t="shared" si="1"/>
        <v>449.07880132999998</v>
      </c>
      <c r="M17" s="315">
        <f t="shared" si="2"/>
        <v>418.38622218</v>
      </c>
      <c r="N17" s="315">
        <f t="shared" si="3"/>
        <v>45.542597338950635</v>
      </c>
      <c r="O17" s="331">
        <f t="shared" si="3"/>
        <v>93.165435763367071</v>
      </c>
      <c r="P17" s="319">
        <f t="shared" si="4"/>
        <v>11.555494870000189</v>
      </c>
      <c r="Q17" s="319">
        <f t="shared" si="5"/>
        <v>2.2179999973559461E-5</v>
      </c>
    </row>
    <row r="18" spans="1:17" ht="66" x14ac:dyDescent="0.3">
      <c r="A18" s="330" t="s">
        <v>292</v>
      </c>
      <c r="B18" s="315">
        <v>9578.5</v>
      </c>
      <c r="C18" s="315">
        <v>9578.5439999999999</v>
      </c>
      <c r="D18" s="315">
        <v>1676.2829999999999</v>
      </c>
      <c r="E18" s="315">
        <v>1638.3148799999999</v>
      </c>
      <c r="F18" s="315">
        <v>1638.2368799999999</v>
      </c>
      <c r="G18" s="315">
        <v>17.103193136660437</v>
      </c>
      <c r="H18" s="315">
        <v>97.730328351477652</v>
      </c>
      <c r="I18" s="315">
        <f>9578.5/1000</f>
        <v>9.5785</v>
      </c>
      <c r="J18" s="315">
        <f>1638.2/1000</f>
        <v>1.6382000000000001</v>
      </c>
      <c r="K18" s="315">
        <f t="shared" si="0"/>
        <v>9.5785439999999991</v>
      </c>
      <c r="L18" s="315">
        <f t="shared" si="1"/>
        <v>1.676283</v>
      </c>
      <c r="M18" s="315">
        <f t="shared" si="2"/>
        <v>1.63823688</v>
      </c>
      <c r="N18" s="315">
        <f t="shared" si="3"/>
        <v>17.103193136660437</v>
      </c>
      <c r="O18" s="331">
        <f t="shared" si="3"/>
        <v>97.730328351477652</v>
      </c>
      <c r="P18" s="319">
        <f t="shared" si="4"/>
        <v>4.3999999999044803E-5</v>
      </c>
      <c r="Q18" s="319">
        <f t="shared" si="5"/>
        <v>3.6879999999905877E-5</v>
      </c>
    </row>
    <row r="19" spans="1:17" ht="52.8" x14ac:dyDescent="0.3">
      <c r="A19" s="330" t="s">
        <v>293</v>
      </c>
      <c r="B19" s="315">
        <v>1116994.3999999999</v>
      </c>
      <c r="C19" s="315">
        <v>1116994.3999999999</v>
      </c>
      <c r="D19" s="315">
        <v>547065.35887999984</v>
      </c>
      <c r="E19" s="315">
        <v>544133.35887999984</v>
      </c>
      <c r="F19" s="315">
        <v>538177.1887099999</v>
      </c>
      <c r="G19" s="315">
        <v>48.180831408823529</v>
      </c>
      <c r="H19" s="315">
        <v>98.375300130829601</v>
      </c>
      <c r="I19" s="315">
        <f>1116994.4/1000</f>
        <v>1116.9943999999998</v>
      </c>
      <c r="J19" s="315">
        <f>538177.2/1000</f>
        <v>538.17719999999997</v>
      </c>
      <c r="K19" s="315">
        <f t="shared" si="0"/>
        <v>1116.9943999999998</v>
      </c>
      <c r="L19" s="315">
        <f t="shared" si="1"/>
        <v>547.06535887999985</v>
      </c>
      <c r="M19" s="315">
        <f t="shared" si="2"/>
        <v>538.17718870999988</v>
      </c>
      <c r="N19" s="315">
        <f t="shared" si="3"/>
        <v>48.180831408823529</v>
      </c>
      <c r="O19" s="331">
        <f t="shared" si="3"/>
        <v>98.375300130829601</v>
      </c>
      <c r="P19" s="319">
        <f t="shared" si="4"/>
        <v>0</v>
      </c>
      <c r="Q19" s="319">
        <f t="shared" si="5"/>
        <v>-1.1290000088592933E-5</v>
      </c>
    </row>
    <row r="20" spans="1:17" ht="39.6" x14ac:dyDescent="0.3">
      <c r="A20" s="330" t="s">
        <v>294</v>
      </c>
      <c r="B20" s="315">
        <v>89899.6</v>
      </c>
      <c r="C20" s="315">
        <v>148269.20000000001</v>
      </c>
      <c r="D20" s="315">
        <v>25185.149999999998</v>
      </c>
      <c r="E20" s="315">
        <v>25185.149999999998</v>
      </c>
      <c r="F20" s="315">
        <v>23962.522649999999</v>
      </c>
      <c r="G20" s="315">
        <v>16.161497229363885</v>
      </c>
      <c r="H20" s="315">
        <v>95.145443445840115</v>
      </c>
      <c r="I20" s="315">
        <f>88899.6/1000</f>
        <v>88.899600000000007</v>
      </c>
      <c r="J20" s="315">
        <f>23962.5/1000</f>
        <v>23.962499999999999</v>
      </c>
      <c r="K20" s="315">
        <f t="shared" si="0"/>
        <v>148.26920000000001</v>
      </c>
      <c r="L20" s="315">
        <f t="shared" si="1"/>
        <v>25.185149999999997</v>
      </c>
      <c r="M20" s="315">
        <f t="shared" si="2"/>
        <v>23.96252265</v>
      </c>
      <c r="N20" s="315">
        <f t="shared" si="3"/>
        <v>16.161497229363885</v>
      </c>
      <c r="O20" s="331">
        <f t="shared" si="3"/>
        <v>95.145443445840115</v>
      </c>
      <c r="P20" s="319">
        <f t="shared" si="4"/>
        <v>59.369600000000005</v>
      </c>
      <c r="Q20" s="319">
        <f t="shared" si="5"/>
        <v>2.2650000001789294E-5</v>
      </c>
    </row>
    <row r="21" spans="1:17" ht="52.8" x14ac:dyDescent="0.3">
      <c r="A21" s="330" t="s">
        <v>295</v>
      </c>
      <c r="B21" s="315">
        <v>598120.19999999995</v>
      </c>
      <c r="C21" s="315">
        <v>611993.67377999995</v>
      </c>
      <c r="D21" s="315">
        <v>343479.07796000002</v>
      </c>
      <c r="E21" s="315">
        <v>343269.07796000002</v>
      </c>
      <c r="F21" s="315">
        <v>323502.46964000002</v>
      </c>
      <c r="G21" s="315">
        <v>52.86042707629246</v>
      </c>
      <c r="H21" s="315">
        <v>94.184039261242461</v>
      </c>
      <c r="I21" s="315">
        <f>551997.3/1000</f>
        <v>551.9973</v>
      </c>
      <c r="J21" s="315">
        <f>323502.5/1000</f>
        <v>323.5025</v>
      </c>
      <c r="K21" s="315">
        <f t="shared" si="0"/>
        <v>611.99367377999999</v>
      </c>
      <c r="L21" s="315">
        <f t="shared" si="1"/>
        <v>343.47907796000004</v>
      </c>
      <c r="M21" s="315">
        <f t="shared" si="2"/>
        <v>323.50246964000002</v>
      </c>
      <c r="N21" s="315">
        <f t="shared" si="3"/>
        <v>52.86042707629246</v>
      </c>
      <c r="O21" s="331">
        <f t="shared" si="3"/>
        <v>94.184039261242461</v>
      </c>
      <c r="P21" s="319">
        <f t="shared" si="4"/>
        <v>59.996373779999999</v>
      </c>
      <c r="Q21" s="319">
        <f t="shared" si="5"/>
        <v>-3.0359999982465524E-5</v>
      </c>
    </row>
    <row r="22" spans="1:17" ht="39.6" x14ac:dyDescent="0.3">
      <c r="A22" s="330" t="s">
        <v>296</v>
      </c>
      <c r="B22" s="315">
        <v>224136.9</v>
      </c>
      <c r="C22" s="315">
        <v>227683.45699999999</v>
      </c>
      <c r="D22" s="315">
        <v>91275.63235</v>
      </c>
      <c r="E22" s="315">
        <v>90373.856169999999</v>
      </c>
      <c r="F22" s="315">
        <v>84253.86808</v>
      </c>
      <c r="G22" s="315">
        <v>37.004826433217765</v>
      </c>
      <c r="H22" s="315">
        <v>92.307076829580566</v>
      </c>
      <c r="I22" s="315">
        <f>224136.9/1000</f>
        <v>224.1369</v>
      </c>
      <c r="J22" s="315">
        <f>84253.874/1000</f>
        <v>84.253873999999996</v>
      </c>
      <c r="K22" s="315">
        <f t="shared" si="0"/>
        <v>227.683457</v>
      </c>
      <c r="L22" s="315">
        <f t="shared" si="1"/>
        <v>91.275632349999995</v>
      </c>
      <c r="M22" s="315">
        <f t="shared" si="2"/>
        <v>84.253868080000004</v>
      </c>
      <c r="N22" s="315">
        <f t="shared" si="3"/>
        <v>37.004826433217765</v>
      </c>
      <c r="O22" s="331">
        <f t="shared" si="3"/>
        <v>92.307076829580566</v>
      </c>
      <c r="P22" s="319">
        <f t="shared" si="4"/>
        <v>3.5465570000000071</v>
      </c>
      <c r="Q22" s="319">
        <f t="shared" si="5"/>
        <v>-5.9199999924430813E-6</v>
      </c>
    </row>
    <row r="23" spans="1:17" ht="26.4" x14ac:dyDescent="0.3">
      <c r="A23" s="330" t="s">
        <v>297</v>
      </c>
      <c r="B23" s="315">
        <v>3494</v>
      </c>
      <c r="C23" s="315">
        <v>3494</v>
      </c>
      <c r="D23" s="315">
        <v>1186.5</v>
      </c>
      <c r="E23" s="315">
        <v>1185.8696599999998</v>
      </c>
      <c r="F23" s="315">
        <v>1185.8696599999998</v>
      </c>
      <c r="G23" s="315">
        <v>33.940173440183166</v>
      </c>
      <c r="H23" s="315">
        <v>99.946873999157177</v>
      </c>
      <c r="I23" s="315">
        <f>3494/1000</f>
        <v>3.4940000000000002</v>
      </c>
      <c r="J23" s="315">
        <f>1185.9/1000</f>
        <v>1.1859000000000002</v>
      </c>
      <c r="K23" s="315">
        <f t="shared" si="0"/>
        <v>3.4940000000000002</v>
      </c>
      <c r="L23" s="315">
        <f t="shared" si="1"/>
        <v>1.1865000000000001</v>
      </c>
      <c r="M23" s="315">
        <f t="shared" si="2"/>
        <v>1.1858696599999998</v>
      </c>
      <c r="N23" s="315">
        <f t="shared" si="3"/>
        <v>33.940173440183166</v>
      </c>
      <c r="O23" s="331">
        <f t="shared" si="3"/>
        <v>99.946873999157177</v>
      </c>
      <c r="P23" s="319">
        <f t="shared" si="4"/>
        <v>0</v>
      </c>
      <c r="Q23" s="319">
        <f t="shared" si="5"/>
        <v>-3.0340000000350642E-5</v>
      </c>
    </row>
    <row r="24" spans="1:17" ht="26.4" x14ac:dyDescent="0.3">
      <c r="A24" s="330" t="s">
        <v>298</v>
      </c>
      <c r="B24" s="315">
        <v>934866</v>
      </c>
      <c r="C24" s="315">
        <v>934866</v>
      </c>
      <c r="D24" s="315">
        <v>393935.62595000002</v>
      </c>
      <c r="E24" s="315">
        <v>393935.62595000002</v>
      </c>
      <c r="F24" s="315">
        <v>366462.05738999997</v>
      </c>
      <c r="G24" s="315">
        <v>39.199420814319915</v>
      </c>
      <c r="H24" s="315">
        <v>93.02587358182042</v>
      </c>
      <c r="I24" s="315">
        <f>878425.6/1000</f>
        <v>878.42560000000003</v>
      </c>
      <c r="J24" s="315">
        <f>366462.05/1000</f>
        <v>366.46204999999998</v>
      </c>
      <c r="K24" s="315">
        <f t="shared" si="0"/>
        <v>934.86599999999999</v>
      </c>
      <c r="L24" s="315">
        <f t="shared" si="1"/>
        <v>393.93562595000003</v>
      </c>
      <c r="M24" s="315">
        <f t="shared" si="2"/>
        <v>366.46205738999998</v>
      </c>
      <c r="N24" s="315">
        <f t="shared" si="3"/>
        <v>39.199420814319915</v>
      </c>
      <c r="O24" s="331">
        <f t="shared" si="3"/>
        <v>93.02587358182042</v>
      </c>
      <c r="P24" s="319">
        <f t="shared" si="4"/>
        <v>56.440399999999954</v>
      </c>
      <c r="Q24" s="319">
        <f t="shared" si="5"/>
        <v>7.3900000074900163E-6</v>
      </c>
    </row>
    <row r="25" spans="1:17" ht="39.6" x14ac:dyDescent="0.3">
      <c r="A25" s="330" t="s">
        <v>299</v>
      </c>
      <c r="B25" s="315">
        <v>3203910</v>
      </c>
      <c r="C25" s="315">
        <v>3203910</v>
      </c>
      <c r="D25" s="315">
        <v>2189165.3146799998</v>
      </c>
      <c r="E25" s="315">
        <v>2185883.2031100001</v>
      </c>
      <c r="F25" s="315">
        <v>2174505.0262000002</v>
      </c>
      <c r="G25" s="315">
        <v>67.870352981201094</v>
      </c>
      <c r="H25" s="315">
        <v>99.330325198298581</v>
      </c>
      <c r="I25" s="315">
        <f>3203910/1000</f>
        <v>3203.91</v>
      </c>
      <c r="J25" s="315">
        <f>2174505/1000</f>
        <v>2174.5050000000001</v>
      </c>
      <c r="K25" s="315">
        <f t="shared" si="0"/>
        <v>3203.91</v>
      </c>
      <c r="L25" s="315">
        <f t="shared" si="1"/>
        <v>2189.1653146799999</v>
      </c>
      <c r="M25" s="315">
        <f t="shared" si="2"/>
        <v>2174.5050262</v>
      </c>
      <c r="N25" s="315">
        <f t="shared" si="3"/>
        <v>67.870352981201094</v>
      </c>
      <c r="O25" s="331">
        <f t="shared" si="3"/>
        <v>99.330325198298581</v>
      </c>
      <c r="P25" s="319">
        <f t="shared" si="4"/>
        <v>0</v>
      </c>
      <c r="Q25" s="319">
        <f t="shared" si="5"/>
        <v>2.6199999865639256E-5</v>
      </c>
    </row>
    <row r="26" spans="1:17" ht="52.8" x14ac:dyDescent="0.3">
      <c r="A26" s="330" t="s">
        <v>300</v>
      </c>
      <c r="B26" s="315">
        <v>75800.800000000003</v>
      </c>
      <c r="C26" s="315">
        <v>48948.728000000003</v>
      </c>
      <c r="D26" s="315">
        <v>42151.868000000002</v>
      </c>
      <c r="E26" s="315">
        <v>40818.876000000004</v>
      </c>
      <c r="F26" s="315">
        <v>24591.354159999995</v>
      </c>
      <c r="G26" s="315">
        <v>50.239005516139244</v>
      </c>
      <c r="H26" s="315">
        <v>58.339891745722859</v>
      </c>
      <c r="I26" s="315">
        <f>75800.8/1000</f>
        <v>75.80080000000001</v>
      </c>
      <c r="J26" s="315">
        <f>24591.327/1000</f>
        <v>24.591327</v>
      </c>
      <c r="K26" s="315">
        <f t="shared" si="0"/>
        <v>48.948728000000003</v>
      </c>
      <c r="L26" s="315">
        <f t="shared" si="1"/>
        <v>42.151868</v>
      </c>
      <c r="M26" s="315">
        <f t="shared" si="2"/>
        <v>24.591354159999995</v>
      </c>
      <c r="N26" s="315">
        <f t="shared" si="3"/>
        <v>50.239005516139244</v>
      </c>
      <c r="O26" s="331">
        <f t="shared" si="3"/>
        <v>58.339891745722859</v>
      </c>
      <c r="P26" s="319">
        <f t="shared" si="4"/>
        <v>-26.852072000000007</v>
      </c>
      <c r="Q26" s="319">
        <f t="shared" si="5"/>
        <v>2.7159999994808004E-5</v>
      </c>
    </row>
    <row r="27" spans="1:17" ht="26.4" x14ac:dyDescent="0.3">
      <c r="A27" s="330" t="s">
        <v>301</v>
      </c>
      <c r="B27" s="315">
        <v>5298548.7</v>
      </c>
      <c r="C27" s="315">
        <v>6809972.832849999</v>
      </c>
      <c r="D27" s="315">
        <v>1995188.5645299999</v>
      </c>
      <c r="E27" s="315">
        <v>1990583.1393299999</v>
      </c>
      <c r="F27" s="315">
        <v>1969042.2449400001</v>
      </c>
      <c r="G27" s="315">
        <v>28.914098385851396</v>
      </c>
      <c r="H27" s="315">
        <v>98.689531402954941</v>
      </c>
      <c r="I27" s="315">
        <f>6810973.6/1000</f>
        <v>6810.9735999999994</v>
      </c>
      <c r="J27" s="315">
        <f>1969042.2/1000</f>
        <v>1969.0421999999999</v>
      </c>
      <c r="K27" s="315">
        <f t="shared" si="0"/>
        <v>6809.9728328499987</v>
      </c>
      <c r="L27" s="315">
        <f t="shared" si="1"/>
        <v>1995.1885645299999</v>
      </c>
      <c r="M27" s="315">
        <f t="shared" si="2"/>
        <v>1969.04224494</v>
      </c>
      <c r="N27" s="315">
        <f t="shared" si="3"/>
        <v>28.914098385851396</v>
      </c>
      <c r="O27" s="331">
        <f t="shared" si="3"/>
        <v>98.689531402954941</v>
      </c>
      <c r="P27" s="319">
        <f t="shared" si="4"/>
        <v>-1.0007671500006836</v>
      </c>
      <c r="Q27" s="319">
        <f t="shared" si="5"/>
        <v>4.4940000179849449E-5</v>
      </c>
    </row>
    <row r="28" spans="1:17" ht="26.4" x14ac:dyDescent="0.3">
      <c r="A28" s="330" t="s">
        <v>302</v>
      </c>
      <c r="B28" s="315">
        <v>106083.8</v>
      </c>
      <c r="C28" s="315">
        <v>320411.00691</v>
      </c>
      <c r="D28" s="315">
        <v>53859.795299999998</v>
      </c>
      <c r="E28" s="315">
        <v>53859.795299999998</v>
      </c>
      <c r="F28" s="315">
        <v>53239.20736</v>
      </c>
      <c r="G28" s="315">
        <v>16.615910880662824</v>
      </c>
      <c r="H28" s="315">
        <v>98.847771447063039</v>
      </c>
      <c r="I28" s="315">
        <f>145925.8/1000</f>
        <v>145.92579999999998</v>
      </c>
      <c r="J28" s="315">
        <f>53239.2/1000</f>
        <v>53.239199999999997</v>
      </c>
      <c r="K28" s="315">
        <f t="shared" si="0"/>
        <v>320.41100690999997</v>
      </c>
      <c r="L28" s="315">
        <f t="shared" si="1"/>
        <v>53.859795299999995</v>
      </c>
      <c r="M28" s="315">
        <f t="shared" si="2"/>
        <v>53.239207360000002</v>
      </c>
      <c r="N28" s="315">
        <f t="shared" si="3"/>
        <v>16.615910880662824</v>
      </c>
      <c r="O28" s="331">
        <f t="shared" si="3"/>
        <v>98.847771447063039</v>
      </c>
      <c r="P28" s="319">
        <f t="shared" si="4"/>
        <v>174.48520690999999</v>
      </c>
      <c r="Q28" s="319">
        <f t="shared" si="5"/>
        <v>7.3600000050078052E-6</v>
      </c>
    </row>
    <row r="29" spans="1:17" ht="39.6" x14ac:dyDescent="0.3">
      <c r="A29" s="330" t="s">
        <v>303</v>
      </c>
      <c r="B29" s="315">
        <v>57880</v>
      </c>
      <c r="C29" s="315">
        <v>57880</v>
      </c>
      <c r="D29" s="315">
        <v>30033</v>
      </c>
      <c r="E29" s="315">
        <v>30033</v>
      </c>
      <c r="F29" s="315">
        <v>25263.34087</v>
      </c>
      <c r="G29" s="315">
        <v>43.647790031098829</v>
      </c>
      <c r="H29" s="315">
        <v>84.118605766989646</v>
      </c>
      <c r="I29" s="315">
        <f>57880/1000</f>
        <v>57.88</v>
      </c>
      <c r="J29" s="315">
        <f>25263.27/1000</f>
        <v>25.263270000000002</v>
      </c>
      <c r="K29" s="315">
        <f t="shared" si="0"/>
        <v>57.88</v>
      </c>
      <c r="L29" s="315">
        <f t="shared" si="1"/>
        <v>30.033000000000001</v>
      </c>
      <c r="M29" s="315">
        <f t="shared" si="2"/>
        <v>25.26334087</v>
      </c>
      <c r="N29" s="315">
        <f t="shared" si="3"/>
        <v>43.647790031098829</v>
      </c>
      <c r="O29" s="331">
        <f t="shared" si="3"/>
        <v>84.118605766989646</v>
      </c>
      <c r="P29" s="319">
        <f t="shared" si="4"/>
        <v>0</v>
      </c>
      <c r="Q29" s="319">
        <f t="shared" si="5"/>
        <v>7.0869999998279809E-5</v>
      </c>
    </row>
    <row r="30" spans="1:17" ht="39.6" x14ac:dyDescent="0.3">
      <c r="A30" s="330" t="s">
        <v>304</v>
      </c>
      <c r="B30" s="315">
        <v>5177107.0999999996</v>
      </c>
      <c r="C30" s="315">
        <v>5177107.0999999996</v>
      </c>
      <c r="D30" s="315">
        <v>2372269.0337800002</v>
      </c>
      <c r="E30" s="315">
        <v>2371608.9137800001</v>
      </c>
      <c r="F30" s="315">
        <v>2354194.3544399999</v>
      </c>
      <c r="G30" s="315">
        <v>45.473163080593793</v>
      </c>
      <c r="H30" s="315">
        <v>99.238084758405336</v>
      </c>
      <c r="I30" s="315">
        <f>5177107.1/1000</f>
        <v>5177.1070999999993</v>
      </c>
      <c r="J30" s="315">
        <f>2354194.3/1000</f>
        <v>2354.1942999999997</v>
      </c>
      <c r="K30" s="315">
        <f t="shared" si="0"/>
        <v>5177.1070999999993</v>
      </c>
      <c r="L30" s="315">
        <f t="shared" si="1"/>
        <v>2372.26903378</v>
      </c>
      <c r="M30" s="315">
        <f t="shared" si="2"/>
        <v>2354.1943544400001</v>
      </c>
      <c r="N30" s="315">
        <f t="shared" si="3"/>
        <v>45.473163080593793</v>
      </c>
      <c r="O30" s="331">
        <f t="shared" si="3"/>
        <v>99.238084758405336</v>
      </c>
      <c r="P30" s="319">
        <f t="shared" si="4"/>
        <v>0</v>
      </c>
      <c r="Q30" s="319">
        <f t="shared" si="5"/>
        <v>5.4440000440081349E-5</v>
      </c>
    </row>
    <row r="31" spans="1:17" ht="39.6" x14ac:dyDescent="0.3">
      <c r="A31" s="330" t="s">
        <v>305</v>
      </c>
      <c r="B31" s="315">
        <v>1365696.9</v>
      </c>
      <c r="C31" s="315">
        <v>1360664.46175</v>
      </c>
      <c r="D31" s="315">
        <v>668117.08383000002</v>
      </c>
      <c r="E31" s="315">
        <v>657198.86819999991</v>
      </c>
      <c r="F31" s="315">
        <v>633548.54078000004</v>
      </c>
      <c r="G31" s="315">
        <v>46.561702652626806</v>
      </c>
      <c r="H31" s="315">
        <v>94.825975283877668</v>
      </c>
      <c r="I31" s="315">
        <f>1351880.5/1000</f>
        <v>1351.8805</v>
      </c>
      <c r="J31" s="315">
        <f>633548.45/1000</f>
        <v>633.54845</v>
      </c>
      <c r="K31" s="315">
        <f t="shared" si="0"/>
        <v>1360.6644617500001</v>
      </c>
      <c r="L31" s="315">
        <f t="shared" si="1"/>
        <v>668.11708383000007</v>
      </c>
      <c r="M31" s="315">
        <f t="shared" si="2"/>
        <v>633.54854078000005</v>
      </c>
      <c r="N31" s="315">
        <f t="shared" si="3"/>
        <v>46.561702652626806</v>
      </c>
      <c r="O31" s="331">
        <f t="shared" si="3"/>
        <v>94.825975283877668</v>
      </c>
      <c r="P31" s="319">
        <f t="shared" si="4"/>
        <v>8.7839617500001168</v>
      </c>
      <c r="Q31" s="319">
        <f t="shared" si="5"/>
        <v>9.0780000050472154E-5</v>
      </c>
    </row>
    <row r="32" spans="1:17" ht="39.6" x14ac:dyDescent="0.3">
      <c r="A32" s="330" t="s">
        <v>306</v>
      </c>
      <c r="B32" s="315">
        <v>121760.9</v>
      </c>
      <c r="C32" s="315">
        <v>169749.27957000001</v>
      </c>
      <c r="D32" s="315">
        <v>60952.72539</v>
      </c>
      <c r="E32" s="315">
        <v>60952.72539</v>
      </c>
      <c r="F32" s="315">
        <v>60952.72539</v>
      </c>
      <c r="G32" s="315">
        <v>35.907501666223418</v>
      </c>
      <c r="H32" s="315">
        <v>100</v>
      </c>
      <c r="I32" s="315">
        <f>169749.3/1000</f>
        <v>169.74929999999998</v>
      </c>
      <c r="J32" s="315">
        <f>60952.73/1000</f>
        <v>60.952730000000003</v>
      </c>
      <c r="K32" s="315">
        <f t="shared" si="0"/>
        <v>169.74927957000003</v>
      </c>
      <c r="L32" s="315">
        <f t="shared" si="1"/>
        <v>60.952725389999998</v>
      </c>
      <c r="M32" s="315">
        <f t="shared" si="2"/>
        <v>60.952725389999998</v>
      </c>
      <c r="N32" s="315">
        <f t="shared" si="3"/>
        <v>35.907501666223418</v>
      </c>
      <c r="O32" s="331">
        <f t="shared" si="3"/>
        <v>100</v>
      </c>
      <c r="P32" s="319">
        <f t="shared" si="4"/>
        <v>-2.0429999949556077E-5</v>
      </c>
      <c r="Q32" s="319">
        <f t="shared" si="5"/>
        <v>-4.6100000048454604E-6</v>
      </c>
    </row>
    <row r="33" spans="1:17" x14ac:dyDescent="0.3">
      <c r="A33" s="330"/>
      <c r="B33" s="315"/>
      <c r="C33" s="315"/>
      <c r="D33" s="315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31"/>
    </row>
    <row r="34" spans="1:17" x14ac:dyDescent="0.3">
      <c r="A34" s="328" t="s">
        <v>389</v>
      </c>
      <c r="B34" s="314">
        <v>4334194.5999999996</v>
      </c>
      <c r="C34" s="314">
        <v>4334194.5928199999</v>
      </c>
      <c r="D34" s="314">
        <v>660583.07693999994</v>
      </c>
      <c r="E34" s="314">
        <v>640413.86378999997</v>
      </c>
      <c r="F34" s="314">
        <v>627474.68835999991</v>
      </c>
      <c r="G34" s="314">
        <v>14.477307719396601</v>
      </c>
      <c r="H34" s="314">
        <v>94.988005334110724</v>
      </c>
      <c r="I34" s="314"/>
      <c r="J34" s="314"/>
      <c r="K34" s="314">
        <f t="shared" si="0"/>
        <v>4334.1945928200003</v>
      </c>
      <c r="L34" s="314">
        <f>+D34/1000</f>
        <v>660.58307693999996</v>
      </c>
      <c r="M34" s="314">
        <f t="shared" si="2"/>
        <v>627.47468835999996</v>
      </c>
      <c r="N34" s="314">
        <f t="shared" si="3"/>
        <v>14.477307719396601</v>
      </c>
      <c r="O34" s="329">
        <f t="shared" si="3"/>
        <v>94.988005334110724</v>
      </c>
    </row>
    <row r="35" spans="1:17" x14ac:dyDescent="0.3">
      <c r="A35" s="330" t="s">
        <v>284</v>
      </c>
      <c r="B35" s="314" t="s">
        <v>235</v>
      </c>
      <c r="C35" s="314" t="s">
        <v>235</v>
      </c>
      <c r="D35" s="314" t="s">
        <v>235</v>
      </c>
      <c r="E35" s="314" t="s">
        <v>235</v>
      </c>
      <c r="F35" s="314" t="s">
        <v>235</v>
      </c>
      <c r="G35" s="314"/>
      <c r="H35" s="314"/>
      <c r="I35" s="314"/>
      <c r="J35" s="314"/>
      <c r="K35" s="314"/>
      <c r="L35" s="314"/>
      <c r="M35" s="314"/>
      <c r="N35" s="314"/>
      <c r="O35" s="329"/>
    </row>
    <row r="36" spans="1:17" ht="52.8" x14ac:dyDescent="0.3">
      <c r="A36" s="330" t="s">
        <v>307</v>
      </c>
      <c r="B36" s="315">
        <v>4334194.5999999996</v>
      </c>
      <c r="C36" s="315">
        <v>4334194.5928199999</v>
      </c>
      <c r="D36" s="315">
        <v>660583.07693999994</v>
      </c>
      <c r="E36" s="315">
        <v>640413.86378999997</v>
      </c>
      <c r="F36" s="315">
        <v>627474.68835999991</v>
      </c>
      <c r="G36" s="315">
        <v>14.477307719396601</v>
      </c>
      <c r="H36" s="315">
        <v>94.988005334110724</v>
      </c>
      <c r="I36" s="315"/>
      <c r="J36" s="315"/>
      <c r="K36" s="315">
        <f t="shared" si="0"/>
        <v>4334.1945928200003</v>
      </c>
      <c r="L36" s="315">
        <f>+D36/1000</f>
        <v>660.58307693999996</v>
      </c>
      <c r="M36" s="315">
        <f t="shared" si="2"/>
        <v>627.47468835999996</v>
      </c>
      <c r="N36" s="315">
        <f t="shared" si="3"/>
        <v>14.477307719396601</v>
      </c>
      <c r="O36" s="331">
        <f t="shared" si="3"/>
        <v>94.988005334110724</v>
      </c>
    </row>
    <row r="37" spans="1:17" x14ac:dyDescent="0.3">
      <c r="A37" s="332" t="s">
        <v>30</v>
      </c>
      <c r="B37" s="316" t="s">
        <v>235</v>
      </c>
      <c r="C37" s="316" t="s">
        <v>235</v>
      </c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33"/>
    </row>
    <row r="38" spans="1:17" x14ac:dyDescent="0.3">
      <c r="A38" s="328" t="s">
        <v>390</v>
      </c>
      <c r="B38" s="314">
        <v>246943.2</v>
      </c>
      <c r="C38" s="314">
        <v>246943.2</v>
      </c>
      <c r="D38" s="314">
        <v>3139.2</v>
      </c>
      <c r="E38" s="314">
        <v>2518.4499999999998</v>
      </c>
      <c r="F38" s="314">
        <v>2515.9609</v>
      </c>
      <c r="G38" s="314">
        <v>1.0188419442203713</v>
      </c>
      <c r="H38" s="314">
        <v>80.146562818552496</v>
      </c>
      <c r="I38" s="314"/>
      <c r="J38" s="314"/>
      <c r="K38" s="314">
        <f t="shared" si="0"/>
        <v>246.94320000000002</v>
      </c>
      <c r="L38" s="314">
        <f>+D38/1000</f>
        <v>3.1391999999999998</v>
      </c>
      <c r="M38" s="314">
        <f t="shared" si="2"/>
        <v>2.5159609000000001</v>
      </c>
      <c r="N38" s="314">
        <f t="shared" si="3"/>
        <v>1.0188419442203713</v>
      </c>
      <c r="O38" s="329">
        <f t="shared" si="3"/>
        <v>80.146562818552496</v>
      </c>
    </row>
    <row r="39" spans="1:17" x14ac:dyDescent="0.3">
      <c r="A39" s="330" t="s">
        <v>284</v>
      </c>
      <c r="B39" s="314" t="s">
        <v>235</v>
      </c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29"/>
    </row>
    <row r="40" spans="1:17" ht="39.6" x14ac:dyDescent="0.3">
      <c r="A40" s="330" t="s">
        <v>308</v>
      </c>
      <c r="B40" s="315">
        <v>5190</v>
      </c>
      <c r="C40" s="315">
        <v>5190</v>
      </c>
      <c r="D40" s="315">
        <v>2574.1999999999998</v>
      </c>
      <c r="E40" s="315">
        <v>1953.45</v>
      </c>
      <c r="F40" s="315">
        <v>1950.9609</v>
      </c>
      <c r="G40" s="315">
        <v>37.590768786127171</v>
      </c>
      <c r="H40" s="315">
        <v>75.789017947323444</v>
      </c>
      <c r="I40" s="315">
        <v>5.19</v>
      </c>
      <c r="J40" s="315">
        <f>1950.9609/1000</f>
        <v>1.9509609000000001</v>
      </c>
      <c r="K40" s="315">
        <f t="shared" si="0"/>
        <v>5.19</v>
      </c>
      <c r="L40" s="315">
        <f t="shared" ref="L40:L71" si="6">+D40/1000</f>
        <v>2.5741999999999998</v>
      </c>
      <c r="M40" s="315">
        <f t="shared" si="2"/>
        <v>1.9509609000000001</v>
      </c>
      <c r="N40" s="315">
        <f t="shared" si="3"/>
        <v>37.590768786127171</v>
      </c>
      <c r="O40" s="331">
        <f t="shared" si="3"/>
        <v>75.789017947323444</v>
      </c>
      <c r="P40" s="319">
        <f t="shared" ref="P40" si="7">K40-I40</f>
        <v>0</v>
      </c>
      <c r="Q40" s="319">
        <f t="shared" ref="Q40" si="8">M40-J40</f>
        <v>0</v>
      </c>
    </row>
    <row r="41" spans="1:17" ht="26.4" x14ac:dyDescent="0.3">
      <c r="A41" s="330" t="s">
        <v>309</v>
      </c>
      <c r="B41" s="315">
        <v>200596.2</v>
      </c>
      <c r="C41" s="315">
        <v>200596.2</v>
      </c>
      <c r="D41" s="315">
        <v>565</v>
      </c>
      <c r="E41" s="315">
        <v>565</v>
      </c>
      <c r="F41" s="315">
        <v>565</v>
      </c>
      <c r="G41" s="315">
        <v>0.28166037043573106</v>
      </c>
      <c r="H41" s="315">
        <v>100</v>
      </c>
      <c r="I41" s="315">
        <v>200.59620000000001</v>
      </c>
      <c r="J41" s="315">
        <v>0.6</v>
      </c>
      <c r="K41" s="315">
        <f t="shared" si="0"/>
        <v>200.59620000000001</v>
      </c>
      <c r="L41" s="315">
        <f t="shared" si="6"/>
        <v>0.56499999999999995</v>
      </c>
      <c r="M41" s="315">
        <f t="shared" si="2"/>
        <v>0.56499999999999995</v>
      </c>
      <c r="N41" s="315">
        <f t="shared" si="3"/>
        <v>0.28166037043573106</v>
      </c>
      <c r="O41" s="331">
        <f t="shared" si="3"/>
        <v>100</v>
      </c>
      <c r="P41" s="319">
        <f t="shared" ref="P41" si="9">K41-I41</f>
        <v>0</v>
      </c>
      <c r="Q41" s="319">
        <f t="shared" ref="Q41" si="10">M41-J41</f>
        <v>-3.5000000000000031E-2</v>
      </c>
    </row>
    <row r="42" spans="1:17" ht="39.6" x14ac:dyDescent="0.3">
      <c r="A42" s="330" t="s">
        <v>310</v>
      </c>
      <c r="B42" s="315">
        <v>41157</v>
      </c>
      <c r="C42" s="315">
        <v>41157</v>
      </c>
      <c r="D42" s="315">
        <v>0</v>
      </c>
      <c r="E42" s="315">
        <v>0</v>
      </c>
      <c r="F42" s="315">
        <v>0</v>
      </c>
      <c r="G42" s="315">
        <v>0</v>
      </c>
      <c r="H42" s="315">
        <v>0</v>
      </c>
      <c r="I42" s="315"/>
      <c r="J42" s="315"/>
      <c r="K42" s="315">
        <f t="shared" si="0"/>
        <v>41.156999999999996</v>
      </c>
      <c r="L42" s="315">
        <f t="shared" si="6"/>
        <v>0</v>
      </c>
      <c r="M42" s="315">
        <f t="shared" si="2"/>
        <v>0</v>
      </c>
      <c r="N42" s="315">
        <f t="shared" si="3"/>
        <v>0</v>
      </c>
      <c r="O42" s="331">
        <f t="shared" si="3"/>
        <v>0</v>
      </c>
    </row>
    <row r="43" spans="1:17" hidden="1" x14ac:dyDescent="0.3">
      <c r="A43" s="332" t="s">
        <v>30</v>
      </c>
      <c r="B43" s="316" t="s">
        <v>235</v>
      </c>
      <c r="C43" s="316" t="s">
        <v>235</v>
      </c>
      <c r="D43" s="316"/>
      <c r="E43" s="316"/>
      <c r="F43" s="316"/>
      <c r="G43" s="316"/>
      <c r="H43" s="316"/>
      <c r="I43" s="316"/>
      <c r="J43" s="316"/>
      <c r="K43" s="316" t="e">
        <f t="shared" si="0"/>
        <v>#VALUE!</v>
      </c>
      <c r="L43" s="316">
        <f t="shared" si="6"/>
        <v>0</v>
      </c>
      <c r="M43" s="316">
        <f t="shared" si="2"/>
        <v>0</v>
      </c>
      <c r="N43" s="316">
        <f t="shared" si="3"/>
        <v>0</v>
      </c>
      <c r="O43" s="333">
        <f t="shared" si="3"/>
        <v>0</v>
      </c>
    </row>
    <row r="44" spans="1:17" hidden="1" x14ac:dyDescent="0.3">
      <c r="A44" s="328" t="s">
        <v>311</v>
      </c>
      <c r="B44" s="314">
        <v>1271660.8999999999</v>
      </c>
      <c r="C44" s="314">
        <v>1279109.6004900001</v>
      </c>
      <c r="D44" s="314">
        <v>445948.31566999998</v>
      </c>
      <c r="E44" s="314">
        <v>433985.5662</v>
      </c>
      <c r="F44" s="314">
        <v>339946.53966999997</v>
      </c>
      <c r="G44" s="314">
        <v>26.576810895624082</v>
      </c>
      <c r="H44" s="314">
        <v>76.230031087629243</v>
      </c>
      <c r="I44" s="314"/>
      <c r="J44" s="314"/>
      <c r="K44" s="314">
        <f t="shared" si="0"/>
        <v>1279.10960049</v>
      </c>
      <c r="L44" s="314">
        <f t="shared" si="6"/>
        <v>445.94831567</v>
      </c>
      <c r="M44" s="314">
        <f t="shared" si="2"/>
        <v>339.94653966999999</v>
      </c>
      <c r="N44" s="314">
        <f t="shared" si="3"/>
        <v>26.576810895624082</v>
      </c>
      <c r="O44" s="329">
        <f t="shared" si="3"/>
        <v>76.230031087629243</v>
      </c>
    </row>
    <row r="45" spans="1:17" hidden="1" x14ac:dyDescent="0.3">
      <c r="A45" s="334" t="s">
        <v>30</v>
      </c>
      <c r="B45" s="314" t="s">
        <v>235</v>
      </c>
      <c r="C45" s="314" t="s">
        <v>235</v>
      </c>
      <c r="D45" s="314"/>
      <c r="E45" s="314"/>
      <c r="F45" s="314"/>
      <c r="G45" s="314"/>
      <c r="H45" s="314"/>
      <c r="I45" s="314"/>
      <c r="J45" s="314"/>
      <c r="K45" s="314" t="e">
        <f t="shared" si="0"/>
        <v>#VALUE!</v>
      </c>
      <c r="L45" s="314">
        <f t="shared" si="6"/>
        <v>0</v>
      </c>
      <c r="M45" s="314">
        <f t="shared" si="2"/>
        <v>0</v>
      </c>
      <c r="N45" s="314">
        <f t="shared" si="3"/>
        <v>0</v>
      </c>
      <c r="O45" s="329">
        <f t="shared" si="3"/>
        <v>0</v>
      </c>
    </row>
    <row r="46" spans="1:17" ht="39.6" hidden="1" x14ac:dyDescent="0.3">
      <c r="A46" s="328" t="s">
        <v>312</v>
      </c>
      <c r="B46" s="314">
        <v>28878.2</v>
      </c>
      <c r="C46" s="314">
        <v>28878.2</v>
      </c>
      <c r="D46" s="314">
        <v>15925.5</v>
      </c>
      <c r="E46" s="314">
        <v>13700.1</v>
      </c>
      <c r="F46" s="314">
        <v>12926.77758</v>
      </c>
      <c r="G46" s="314">
        <v>44.763100123968947</v>
      </c>
      <c r="H46" s="314">
        <v>81.170309126871999</v>
      </c>
      <c r="I46" s="314"/>
      <c r="J46" s="314"/>
      <c r="K46" s="314">
        <f t="shared" si="0"/>
        <v>28.8782</v>
      </c>
      <c r="L46" s="314">
        <f t="shared" si="6"/>
        <v>15.9255</v>
      </c>
      <c r="M46" s="314">
        <f t="shared" si="2"/>
        <v>12.92677758</v>
      </c>
      <c r="N46" s="314">
        <f t="shared" si="3"/>
        <v>44.763100123968947</v>
      </c>
      <c r="O46" s="329">
        <f t="shared" si="3"/>
        <v>81.170309126871999</v>
      </c>
    </row>
    <row r="47" spans="1:17" hidden="1" x14ac:dyDescent="0.3">
      <c r="A47" s="328" t="s">
        <v>313</v>
      </c>
      <c r="B47" s="314">
        <v>4310.5</v>
      </c>
      <c r="C47" s="314">
        <v>4310.5</v>
      </c>
      <c r="D47" s="314">
        <v>2933</v>
      </c>
      <c r="E47" s="314">
        <v>2783</v>
      </c>
      <c r="F47" s="314">
        <v>2567.5491999999999</v>
      </c>
      <c r="G47" s="314">
        <v>59.564997100104399</v>
      </c>
      <c r="H47" s="314">
        <v>87.540034094783493</v>
      </c>
      <c r="I47" s="314"/>
      <c r="J47" s="314"/>
      <c r="K47" s="314">
        <f t="shared" si="0"/>
        <v>4.3105000000000002</v>
      </c>
      <c r="L47" s="314">
        <f t="shared" si="6"/>
        <v>2.9329999999999998</v>
      </c>
      <c r="M47" s="314">
        <f t="shared" si="2"/>
        <v>2.5675491999999998</v>
      </c>
      <c r="N47" s="314">
        <f t="shared" si="3"/>
        <v>59.564997100104399</v>
      </c>
      <c r="O47" s="329">
        <f t="shared" si="3"/>
        <v>87.540034094783493</v>
      </c>
    </row>
    <row r="48" spans="1:17" ht="26.4" hidden="1" x14ac:dyDescent="0.3">
      <c r="A48" s="335" t="s">
        <v>314</v>
      </c>
      <c r="B48" s="317">
        <v>4310.5</v>
      </c>
      <c r="C48" s="317">
        <v>4310.5</v>
      </c>
      <c r="D48" s="317">
        <v>2933</v>
      </c>
      <c r="E48" s="317">
        <v>2783</v>
      </c>
      <c r="F48" s="317">
        <v>2567.5491999999999</v>
      </c>
      <c r="G48" s="317">
        <v>59.564997100104399</v>
      </c>
      <c r="H48" s="317">
        <v>87.540034094783493</v>
      </c>
      <c r="I48" s="317"/>
      <c r="J48" s="317"/>
      <c r="K48" s="317">
        <f t="shared" si="0"/>
        <v>4.3105000000000002</v>
      </c>
      <c r="L48" s="317">
        <f t="shared" si="6"/>
        <v>2.9329999999999998</v>
      </c>
      <c r="M48" s="317">
        <f t="shared" si="2"/>
        <v>2.5675491999999998</v>
      </c>
      <c r="N48" s="317">
        <f t="shared" si="3"/>
        <v>59.564997100104399</v>
      </c>
      <c r="O48" s="336">
        <f t="shared" si="3"/>
        <v>87.540034094783493</v>
      </c>
    </row>
    <row r="49" spans="1:15" ht="52.8" hidden="1" x14ac:dyDescent="0.3">
      <c r="A49" s="335" t="s">
        <v>315</v>
      </c>
      <c r="B49" s="317">
        <v>4310.5</v>
      </c>
      <c r="C49" s="317">
        <v>4310.5</v>
      </c>
      <c r="D49" s="317">
        <v>2933</v>
      </c>
      <c r="E49" s="317">
        <v>2783</v>
      </c>
      <c r="F49" s="317">
        <v>2567.5491999999999</v>
      </c>
      <c r="G49" s="317">
        <v>59.564997100104399</v>
      </c>
      <c r="H49" s="317">
        <v>87.540034094783493</v>
      </c>
      <c r="I49" s="317"/>
      <c r="J49" s="317"/>
      <c r="K49" s="317">
        <f t="shared" si="0"/>
        <v>4.3105000000000002</v>
      </c>
      <c r="L49" s="317">
        <f t="shared" si="6"/>
        <v>2.9329999999999998</v>
      </c>
      <c r="M49" s="317">
        <f t="shared" si="2"/>
        <v>2.5675491999999998</v>
      </c>
      <c r="N49" s="317">
        <f t="shared" si="3"/>
        <v>59.564997100104399</v>
      </c>
      <c r="O49" s="336">
        <f t="shared" si="3"/>
        <v>87.540034094783493</v>
      </c>
    </row>
    <row r="50" spans="1:15" ht="26.4" hidden="1" x14ac:dyDescent="0.3">
      <c r="A50" s="335" t="s">
        <v>316</v>
      </c>
      <c r="B50" s="317">
        <v>4310.5</v>
      </c>
      <c r="C50" s="317">
        <v>4310.5</v>
      </c>
      <c r="D50" s="317">
        <v>2933</v>
      </c>
      <c r="E50" s="317">
        <v>2783</v>
      </c>
      <c r="F50" s="317">
        <v>2567.5491999999999</v>
      </c>
      <c r="G50" s="317">
        <v>59.564997100104399</v>
      </c>
      <c r="H50" s="317">
        <v>87.540034094783493</v>
      </c>
      <c r="I50" s="317"/>
      <c r="J50" s="317"/>
      <c r="K50" s="317">
        <f t="shared" si="0"/>
        <v>4.3105000000000002</v>
      </c>
      <c r="L50" s="317">
        <f t="shared" si="6"/>
        <v>2.9329999999999998</v>
      </c>
      <c r="M50" s="317">
        <f t="shared" si="2"/>
        <v>2.5675491999999998</v>
      </c>
      <c r="N50" s="317">
        <f t="shared" si="3"/>
        <v>59.564997100104399</v>
      </c>
      <c r="O50" s="336">
        <f t="shared" si="3"/>
        <v>87.540034094783493</v>
      </c>
    </row>
    <row r="51" spans="1:15" hidden="1" x14ac:dyDescent="0.3">
      <c r="A51" s="334" t="s">
        <v>30</v>
      </c>
      <c r="B51" s="314" t="s">
        <v>235</v>
      </c>
      <c r="C51" s="314" t="s">
        <v>235</v>
      </c>
      <c r="D51" s="314" t="s">
        <v>235</v>
      </c>
      <c r="E51" s="314" t="s">
        <v>235</v>
      </c>
      <c r="F51" s="314" t="s">
        <v>235</v>
      </c>
      <c r="G51" s="314"/>
      <c r="H51" s="314"/>
      <c r="I51" s="314"/>
      <c r="J51" s="314"/>
      <c r="K51" s="314" t="e">
        <f t="shared" si="0"/>
        <v>#VALUE!</v>
      </c>
      <c r="L51" s="314" t="e">
        <f t="shared" si="6"/>
        <v>#VALUE!</v>
      </c>
      <c r="M51" s="314" t="e">
        <f t="shared" si="2"/>
        <v>#VALUE!</v>
      </c>
      <c r="N51" s="314">
        <f t="shared" si="3"/>
        <v>0</v>
      </c>
      <c r="O51" s="329">
        <f t="shared" si="3"/>
        <v>0</v>
      </c>
    </row>
    <row r="52" spans="1:15" ht="26.4" hidden="1" x14ac:dyDescent="0.3">
      <c r="A52" s="328" t="s">
        <v>317</v>
      </c>
      <c r="B52" s="314">
        <v>24567.7</v>
      </c>
      <c r="C52" s="314">
        <v>24567.7</v>
      </c>
      <c r="D52" s="314">
        <v>12992.5</v>
      </c>
      <c r="E52" s="314">
        <v>10917.1</v>
      </c>
      <c r="F52" s="314">
        <v>10359.22838</v>
      </c>
      <c r="G52" s="314">
        <v>42.166048836480421</v>
      </c>
      <c r="H52" s="314">
        <v>79.732371598999435</v>
      </c>
      <c r="I52" s="314"/>
      <c r="J52" s="314"/>
      <c r="K52" s="314">
        <f t="shared" si="0"/>
        <v>24.567700000000002</v>
      </c>
      <c r="L52" s="314">
        <f t="shared" si="6"/>
        <v>12.9925</v>
      </c>
      <c r="M52" s="314">
        <f t="shared" si="2"/>
        <v>10.359228380000001</v>
      </c>
      <c r="N52" s="314">
        <f t="shared" si="3"/>
        <v>42.166048836480421</v>
      </c>
      <c r="O52" s="329">
        <f t="shared" si="3"/>
        <v>79.732371598999435</v>
      </c>
    </row>
    <row r="53" spans="1:15" ht="26.4" hidden="1" x14ac:dyDescent="0.3">
      <c r="A53" s="335" t="s">
        <v>314</v>
      </c>
      <c r="B53" s="317">
        <v>24567.7</v>
      </c>
      <c r="C53" s="317">
        <v>24567.7</v>
      </c>
      <c r="D53" s="317">
        <v>12992.5</v>
      </c>
      <c r="E53" s="317">
        <v>10917.1</v>
      </c>
      <c r="F53" s="317">
        <v>10359.22838</v>
      </c>
      <c r="G53" s="317">
        <v>42.166048836480421</v>
      </c>
      <c r="H53" s="317">
        <v>79.732371598999435</v>
      </c>
      <c r="I53" s="317"/>
      <c r="J53" s="317"/>
      <c r="K53" s="317">
        <f t="shared" si="0"/>
        <v>24.567700000000002</v>
      </c>
      <c r="L53" s="317">
        <f t="shared" si="6"/>
        <v>12.9925</v>
      </c>
      <c r="M53" s="317">
        <f t="shared" si="2"/>
        <v>10.359228380000001</v>
      </c>
      <c r="N53" s="317">
        <f t="shared" si="3"/>
        <v>42.166048836480421</v>
      </c>
      <c r="O53" s="336">
        <f t="shared" si="3"/>
        <v>79.732371598999435</v>
      </c>
    </row>
    <row r="54" spans="1:15" ht="52.8" hidden="1" x14ac:dyDescent="0.3">
      <c r="A54" s="335" t="s">
        <v>315</v>
      </c>
      <c r="B54" s="317">
        <v>24567.7</v>
      </c>
      <c r="C54" s="317">
        <v>24567.7</v>
      </c>
      <c r="D54" s="317">
        <v>12992.5</v>
      </c>
      <c r="E54" s="317">
        <v>10917.1</v>
      </c>
      <c r="F54" s="317">
        <v>10359.22838</v>
      </c>
      <c r="G54" s="317">
        <v>42.166048836480421</v>
      </c>
      <c r="H54" s="317">
        <v>79.732371598999435</v>
      </c>
      <c r="I54" s="317"/>
      <c r="J54" s="317"/>
      <c r="K54" s="317">
        <f t="shared" si="0"/>
        <v>24.567700000000002</v>
      </c>
      <c r="L54" s="317">
        <f t="shared" si="6"/>
        <v>12.9925</v>
      </c>
      <c r="M54" s="317">
        <f t="shared" si="2"/>
        <v>10.359228380000001</v>
      </c>
      <c r="N54" s="317">
        <f t="shared" si="3"/>
        <v>42.166048836480421</v>
      </c>
      <c r="O54" s="336">
        <f t="shared" si="3"/>
        <v>79.732371598999435</v>
      </c>
    </row>
    <row r="55" spans="1:15" ht="26.4" hidden="1" x14ac:dyDescent="0.3">
      <c r="A55" s="335" t="s">
        <v>316</v>
      </c>
      <c r="B55" s="317">
        <v>24567.7</v>
      </c>
      <c r="C55" s="317">
        <v>24567.7</v>
      </c>
      <c r="D55" s="317">
        <v>12992.5</v>
      </c>
      <c r="E55" s="317">
        <v>10917.1</v>
      </c>
      <c r="F55" s="317">
        <v>10359.22838</v>
      </c>
      <c r="G55" s="317">
        <v>42.166048836480421</v>
      </c>
      <c r="H55" s="317">
        <v>79.732371598999435</v>
      </c>
      <c r="I55" s="317"/>
      <c r="J55" s="317"/>
      <c r="K55" s="317">
        <f t="shared" si="0"/>
        <v>24.567700000000002</v>
      </c>
      <c r="L55" s="317">
        <f t="shared" si="6"/>
        <v>12.9925</v>
      </c>
      <c r="M55" s="317">
        <f t="shared" si="2"/>
        <v>10.359228380000001</v>
      </c>
      <c r="N55" s="317">
        <f t="shared" si="3"/>
        <v>42.166048836480421</v>
      </c>
      <c r="O55" s="336">
        <f t="shared" si="3"/>
        <v>79.732371598999435</v>
      </c>
    </row>
    <row r="56" spans="1:15" hidden="1" x14ac:dyDescent="0.3">
      <c r="A56" s="334" t="s">
        <v>30</v>
      </c>
      <c r="B56" s="314" t="s">
        <v>235</v>
      </c>
      <c r="C56" s="314" t="s">
        <v>235</v>
      </c>
      <c r="D56" s="314" t="s">
        <v>235</v>
      </c>
      <c r="E56" s="314" t="s">
        <v>235</v>
      </c>
      <c r="F56" s="314" t="s">
        <v>235</v>
      </c>
      <c r="G56" s="314"/>
      <c r="H56" s="314"/>
      <c r="I56" s="314"/>
      <c r="J56" s="314"/>
      <c r="K56" s="314" t="e">
        <f t="shared" si="0"/>
        <v>#VALUE!</v>
      </c>
      <c r="L56" s="314" t="e">
        <f t="shared" si="6"/>
        <v>#VALUE!</v>
      </c>
      <c r="M56" s="314" t="e">
        <f t="shared" si="2"/>
        <v>#VALUE!</v>
      </c>
      <c r="N56" s="314">
        <f t="shared" si="3"/>
        <v>0</v>
      </c>
      <c r="O56" s="329">
        <f t="shared" si="3"/>
        <v>0</v>
      </c>
    </row>
    <row r="57" spans="1:15" ht="26.4" hidden="1" x14ac:dyDescent="0.3">
      <c r="A57" s="328" t="s">
        <v>318</v>
      </c>
      <c r="B57" s="314">
        <v>190963.1</v>
      </c>
      <c r="C57" s="314">
        <v>190963.09999999998</v>
      </c>
      <c r="D57" s="314">
        <v>104311.28599999999</v>
      </c>
      <c r="E57" s="314">
        <v>103324.28599999999</v>
      </c>
      <c r="F57" s="314">
        <v>80987.493190000008</v>
      </c>
      <c r="G57" s="314">
        <v>42.410022245135323</v>
      </c>
      <c r="H57" s="314">
        <v>77.640202029529206</v>
      </c>
      <c r="I57" s="314"/>
      <c r="J57" s="314"/>
      <c r="K57" s="314">
        <f t="shared" si="0"/>
        <v>190.96309999999997</v>
      </c>
      <c r="L57" s="314">
        <f t="shared" si="6"/>
        <v>104.311286</v>
      </c>
      <c r="M57" s="314">
        <f t="shared" si="2"/>
        <v>80.987493190000009</v>
      </c>
      <c r="N57" s="314">
        <f t="shared" si="3"/>
        <v>42.410022245135323</v>
      </c>
      <c r="O57" s="329">
        <f t="shared" si="3"/>
        <v>77.640202029529206</v>
      </c>
    </row>
    <row r="58" spans="1:15" hidden="1" x14ac:dyDescent="0.3">
      <c r="A58" s="328" t="s">
        <v>319</v>
      </c>
      <c r="B58" s="314">
        <v>4540.8999999999996</v>
      </c>
      <c r="C58" s="314">
        <v>4540.8999999999996</v>
      </c>
      <c r="D58" s="314">
        <v>2444.7309999999998</v>
      </c>
      <c r="E58" s="314">
        <v>2444.7309999999998</v>
      </c>
      <c r="F58" s="314">
        <v>2444.7302199999999</v>
      </c>
      <c r="G58" s="314">
        <v>53.838010526547606</v>
      </c>
      <c r="H58" s="314">
        <v>99.999968094649276</v>
      </c>
      <c r="I58" s="314"/>
      <c r="J58" s="314"/>
      <c r="K58" s="314">
        <f t="shared" si="0"/>
        <v>4.5408999999999997</v>
      </c>
      <c r="L58" s="314">
        <f t="shared" si="6"/>
        <v>2.444731</v>
      </c>
      <c r="M58" s="314">
        <f t="shared" si="2"/>
        <v>2.4447302199999998</v>
      </c>
      <c r="N58" s="314">
        <f t="shared" si="3"/>
        <v>53.838010526547606</v>
      </c>
      <c r="O58" s="329">
        <f t="shared" si="3"/>
        <v>99.999968094649276</v>
      </c>
    </row>
    <row r="59" spans="1:15" ht="26.4" hidden="1" x14ac:dyDescent="0.3">
      <c r="A59" s="335" t="s">
        <v>314</v>
      </c>
      <c r="B59" s="317">
        <v>4540.8999999999996</v>
      </c>
      <c r="C59" s="317">
        <v>4540.8999999999996</v>
      </c>
      <c r="D59" s="317">
        <v>2444.7309999999998</v>
      </c>
      <c r="E59" s="317">
        <v>2444.7309999999998</v>
      </c>
      <c r="F59" s="317">
        <v>2444.7302199999999</v>
      </c>
      <c r="G59" s="317">
        <v>53.838010526547606</v>
      </c>
      <c r="H59" s="317">
        <v>99.999968094649276</v>
      </c>
      <c r="I59" s="317"/>
      <c r="J59" s="317"/>
      <c r="K59" s="317">
        <f t="shared" si="0"/>
        <v>4.5408999999999997</v>
      </c>
      <c r="L59" s="317">
        <f t="shared" si="6"/>
        <v>2.444731</v>
      </c>
      <c r="M59" s="317">
        <f t="shared" si="2"/>
        <v>2.4447302199999998</v>
      </c>
      <c r="N59" s="317">
        <f t="shared" si="3"/>
        <v>53.838010526547606</v>
      </c>
      <c r="O59" s="336">
        <f t="shared" si="3"/>
        <v>99.999968094649276</v>
      </c>
    </row>
    <row r="60" spans="1:15" ht="52.8" hidden="1" x14ac:dyDescent="0.3">
      <c r="A60" s="335" t="s">
        <v>315</v>
      </c>
      <c r="B60" s="317">
        <v>4540.8999999999996</v>
      </c>
      <c r="C60" s="317">
        <v>4540.8999999999996</v>
      </c>
      <c r="D60" s="317">
        <v>2444.7309999999998</v>
      </c>
      <c r="E60" s="317">
        <v>2444.7309999999998</v>
      </c>
      <c r="F60" s="317">
        <v>2444.7302199999999</v>
      </c>
      <c r="G60" s="317">
        <v>53.838010526547606</v>
      </c>
      <c r="H60" s="317">
        <v>99.999968094649276</v>
      </c>
      <c r="I60" s="317"/>
      <c r="J60" s="317"/>
      <c r="K60" s="317">
        <f t="shared" si="0"/>
        <v>4.5408999999999997</v>
      </c>
      <c r="L60" s="317">
        <f t="shared" si="6"/>
        <v>2.444731</v>
      </c>
      <c r="M60" s="317">
        <f t="shared" si="2"/>
        <v>2.4447302199999998</v>
      </c>
      <c r="N60" s="317">
        <f t="shared" si="3"/>
        <v>53.838010526547606</v>
      </c>
      <c r="O60" s="336">
        <f t="shared" si="3"/>
        <v>99.999968094649276</v>
      </c>
    </row>
    <row r="61" spans="1:15" ht="26.4" hidden="1" x14ac:dyDescent="0.3">
      <c r="A61" s="335" t="s">
        <v>316</v>
      </c>
      <c r="B61" s="317">
        <v>4540.8999999999996</v>
      </c>
      <c r="C61" s="317">
        <v>4540.8999999999996</v>
      </c>
      <c r="D61" s="317">
        <v>2444.7309999999998</v>
      </c>
      <c r="E61" s="317">
        <v>2444.7309999999998</v>
      </c>
      <c r="F61" s="317">
        <v>2444.7302199999999</v>
      </c>
      <c r="G61" s="317">
        <v>53.838010526547606</v>
      </c>
      <c r="H61" s="317">
        <v>99.999968094649276</v>
      </c>
      <c r="I61" s="317"/>
      <c r="J61" s="317"/>
      <c r="K61" s="317">
        <f t="shared" si="0"/>
        <v>4.5408999999999997</v>
      </c>
      <c r="L61" s="317">
        <f t="shared" si="6"/>
        <v>2.444731</v>
      </c>
      <c r="M61" s="317">
        <f t="shared" si="2"/>
        <v>2.4447302199999998</v>
      </c>
      <c r="N61" s="317">
        <f t="shared" si="3"/>
        <v>53.838010526547606</v>
      </c>
      <c r="O61" s="336">
        <f t="shared" si="3"/>
        <v>99.999968094649276</v>
      </c>
    </row>
    <row r="62" spans="1:15" hidden="1" x14ac:dyDescent="0.3">
      <c r="A62" s="334" t="s">
        <v>30</v>
      </c>
      <c r="B62" s="314" t="s">
        <v>235</v>
      </c>
      <c r="C62" s="314" t="s">
        <v>235</v>
      </c>
      <c r="D62" s="314" t="s">
        <v>235</v>
      </c>
      <c r="E62" s="314" t="s">
        <v>235</v>
      </c>
      <c r="F62" s="314" t="s">
        <v>235</v>
      </c>
      <c r="G62" s="314"/>
      <c r="H62" s="314"/>
      <c r="I62" s="314"/>
      <c r="J62" s="314"/>
      <c r="K62" s="314" t="e">
        <f t="shared" si="0"/>
        <v>#VALUE!</v>
      </c>
      <c r="L62" s="314" t="e">
        <f t="shared" si="6"/>
        <v>#VALUE!</v>
      </c>
      <c r="M62" s="314" t="e">
        <f t="shared" si="2"/>
        <v>#VALUE!</v>
      </c>
      <c r="N62" s="314">
        <f t="shared" si="3"/>
        <v>0</v>
      </c>
      <c r="O62" s="329">
        <f t="shared" si="3"/>
        <v>0</v>
      </c>
    </row>
    <row r="63" spans="1:15" hidden="1" x14ac:dyDescent="0.3">
      <c r="A63" s="328" t="s">
        <v>320</v>
      </c>
      <c r="B63" s="314">
        <v>41293.199999999997</v>
      </c>
      <c r="C63" s="314">
        <v>41293.199999999997</v>
      </c>
      <c r="D63" s="314">
        <v>26928.875</v>
      </c>
      <c r="E63" s="314">
        <v>26928.875</v>
      </c>
      <c r="F63" s="314">
        <v>20644.53559</v>
      </c>
      <c r="G63" s="314">
        <v>49.995000605426561</v>
      </c>
      <c r="H63" s="314">
        <v>76.663193653652442</v>
      </c>
      <c r="I63" s="314"/>
      <c r="J63" s="314"/>
      <c r="K63" s="314">
        <f t="shared" si="0"/>
        <v>41.293199999999999</v>
      </c>
      <c r="L63" s="314">
        <f t="shared" si="6"/>
        <v>26.928875000000001</v>
      </c>
      <c r="M63" s="314">
        <f t="shared" si="2"/>
        <v>20.64453559</v>
      </c>
      <c r="N63" s="314">
        <f t="shared" si="3"/>
        <v>49.995000605426561</v>
      </c>
      <c r="O63" s="329">
        <f t="shared" si="3"/>
        <v>76.663193653652442</v>
      </c>
    </row>
    <row r="64" spans="1:15" ht="26.4" hidden="1" x14ac:dyDescent="0.3">
      <c r="A64" s="335" t="s">
        <v>314</v>
      </c>
      <c r="B64" s="317">
        <v>41293.199999999997</v>
      </c>
      <c r="C64" s="317">
        <v>41293.199999999997</v>
      </c>
      <c r="D64" s="317">
        <v>26928.875</v>
      </c>
      <c r="E64" s="317">
        <v>26928.875</v>
      </c>
      <c r="F64" s="317">
        <v>20644.53559</v>
      </c>
      <c r="G64" s="317">
        <v>49.995000605426561</v>
      </c>
      <c r="H64" s="317">
        <v>76.663193653652442</v>
      </c>
      <c r="I64" s="317"/>
      <c r="J64" s="317"/>
      <c r="K64" s="317">
        <f t="shared" si="0"/>
        <v>41.293199999999999</v>
      </c>
      <c r="L64" s="317">
        <f t="shared" si="6"/>
        <v>26.928875000000001</v>
      </c>
      <c r="M64" s="317">
        <f t="shared" si="2"/>
        <v>20.64453559</v>
      </c>
      <c r="N64" s="317">
        <f t="shared" si="3"/>
        <v>49.995000605426561</v>
      </c>
      <c r="O64" s="336">
        <f t="shared" si="3"/>
        <v>76.663193653652442</v>
      </c>
    </row>
    <row r="65" spans="1:15" ht="52.8" hidden="1" x14ac:dyDescent="0.3">
      <c r="A65" s="335" t="s">
        <v>315</v>
      </c>
      <c r="B65" s="317">
        <v>41293.199999999997</v>
      </c>
      <c r="C65" s="317">
        <v>41293.199999999997</v>
      </c>
      <c r="D65" s="317">
        <v>26928.875</v>
      </c>
      <c r="E65" s="317">
        <v>26928.875</v>
      </c>
      <c r="F65" s="317">
        <v>20644.53559</v>
      </c>
      <c r="G65" s="317">
        <v>49.995000605426561</v>
      </c>
      <c r="H65" s="317">
        <v>76.663193653652442</v>
      </c>
      <c r="I65" s="317"/>
      <c r="J65" s="317"/>
      <c r="K65" s="317">
        <f t="shared" si="0"/>
        <v>41.293199999999999</v>
      </c>
      <c r="L65" s="317">
        <f t="shared" si="6"/>
        <v>26.928875000000001</v>
      </c>
      <c r="M65" s="317">
        <f t="shared" si="2"/>
        <v>20.64453559</v>
      </c>
      <c r="N65" s="317">
        <f t="shared" si="3"/>
        <v>49.995000605426561</v>
      </c>
      <c r="O65" s="336">
        <f t="shared" si="3"/>
        <v>76.663193653652442</v>
      </c>
    </row>
    <row r="66" spans="1:15" ht="26.4" hidden="1" x14ac:dyDescent="0.3">
      <c r="A66" s="335" t="s">
        <v>316</v>
      </c>
      <c r="B66" s="317">
        <v>41293.199999999997</v>
      </c>
      <c r="C66" s="317">
        <v>41293.199999999997</v>
      </c>
      <c r="D66" s="317">
        <v>26928.875</v>
      </c>
      <c r="E66" s="317">
        <v>26928.875</v>
      </c>
      <c r="F66" s="317">
        <v>20644.53559</v>
      </c>
      <c r="G66" s="317">
        <v>49.995000605426561</v>
      </c>
      <c r="H66" s="317">
        <v>76.663193653652442</v>
      </c>
      <c r="I66" s="317"/>
      <c r="J66" s="317"/>
      <c r="K66" s="317">
        <f t="shared" si="0"/>
        <v>41.293199999999999</v>
      </c>
      <c r="L66" s="317">
        <f t="shared" si="6"/>
        <v>26.928875000000001</v>
      </c>
      <c r="M66" s="317">
        <f t="shared" si="2"/>
        <v>20.64453559</v>
      </c>
      <c r="N66" s="317">
        <f t="shared" si="3"/>
        <v>49.995000605426561</v>
      </c>
      <c r="O66" s="336">
        <f t="shared" si="3"/>
        <v>76.663193653652442</v>
      </c>
    </row>
    <row r="67" spans="1:15" hidden="1" x14ac:dyDescent="0.3">
      <c r="A67" s="334" t="s">
        <v>30</v>
      </c>
      <c r="B67" s="314" t="s">
        <v>235</v>
      </c>
      <c r="C67" s="314" t="s">
        <v>235</v>
      </c>
      <c r="D67" s="314" t="s">
        <v>235</v>
      </c>
      <c r="E67" s="314" t="s">
        <v>235</v>
      </c>
      <c r="F67" s="314" t="s">
        <v>235</v>
      </c>
      <c r="G67" s="314"/>
      <c r="H67" s="314"/>
      <c r="I67" s="314"/>
      <c r="J67" s="314"/>
      <c r="K67" s="314" t="e">
        <f t="shared" si="0"/>
        <v>#VALUE!</v>
      </c>
      <c r="L67" s="314" t="e">
        <f t="shared" si="6"/>
        <v>#VALUE!</v>
      </c>
      <c r="M67" s="314" t="e">
        <f t="shared" si="2"/>
        <v>#VALUE!</v>
      </c>
      <c r="N67" s="314">
        <f t="shared" si="3"/>
        <v>0</v>
      </c>
      <c r="O67" s="329">
        <f t="shared" si="3"/>
        <v>0</v>
      </c>
    </row>
    <row r="68" spans="1:15" hidden="1" x14ac:dyDescent="0.3">
      <c r="A68" s="328" t="s">
        <v>237</v>
      </c>
      <c r="B68" s="314">
        <v>145129</v>
      </c>
      <c r="C68" s="314">
        <v>145128.99999999997</v>
      </c>
      <c r="D68" s="314">
        <v>74937.679999999993</v>
      </c>
      <c r="E68" s="314">
        <v>73950.679999999993</v>
      </c>
      <c r="F68" s="314">
        <v>57898.227380000004</v>
      </c>
      <c r="G68" s="314">
        <v>39.894319798248468</v>
      </c>
      <c r="H68" s="314">
        <v>77.261835941545044</v>
      </c>
      <c r="I68" s="314"/>
      <c r="J68" s="314"/>
      <c r="K68" s="314">
        <f t="shared" si="0"/>
        <v>145.12899999999996</v>
      </c>
      <c r="L68" s="314">
        <f t="shared" si="6"/>
        <v>74.937679999999986</v>
      </c>
      <c r="M68" s="314">
        <f t="shared" si="2"/>
        <v>57.898227380000002</v>
      </c>
      <c r="N68" s="314">
        <f t="shared" si="3"/>
        <v>39.894319798248468</v>
      </c>
      <c r="O68" s="329">
        <f t="shared" si="3"/>
        <v>77.261835941545044</v>
      </c>
    </row>
    <row r="69" spans="1:15" ht="26.4" hidden="1" x14ac:dyDescent="0.3">
      <c r="A69" s="335" t="s">
        <v>314</v>
      </c>
      <c r="B69" s="317">
        <v>142809.60000000001</v>
      </c>
      <c r="C69" s="317">
        <v>142809.59999999998</v>
      </c>
      <c r="D69" s="317">
        <v>74487.679999999993</v>
      </c>
      <c r="E69" s="317">
        <v>73800.679999999993</v>
      </c>
      <c r="F69" s="317">
        <v>57832.442520000004</v>
      </c>
      <c r="G69" s="317">
        <v>40.496186894998665</v>
      </c>
      <c r="H69" s="317">
        <v>77.640278929347801</v>
      </c>
      <c r="I69" s="317"/>
      <c r="J69" s="317"/>
      <c r="K69" s="317">
        <f t="shared" si="0"/>
        <v>142.80959999999999</v>
      </c>
      <c r="L69" s="317">
        <f t="shared" si="6"/>
        <v>74.487679999999997</v>
      </c>
      <c r="M69" s="317">
        <f t="shared" si="2"/>
        <v>57.832442520000001</v>
      </c>
      <c r="N69" s="317">
        <f t="shared" si="3"/>
        <v>40.496186894998665</v>
      </c>
      <c r="O69" s="336">
        <f t="shared" si="3"/>
        <v>77.640278929347801</v>
      </c>
    </row>
    <row r="70" spans="1:15" ht="52.8" hidden="1" x14ac:dyDescent="0.3">
      <c r="A70" s="335" t="s">
        <v>315</v>
      </c>
      <c r="B70" s="317">
        <v>102047</v>
      </c>
      <c r="C70" s="317">
        <v>102047</v>
      </c>
      <c r="D70" s="317">
        <v>61442.879999999997</v>
      </c>
      <c r="E70" s="317">
        <v>61442.879999999997</v>
      </c>
      <c r="F70" s="317">
        <v>49888.578240000003</v>
      </c>
      <c r="G70" s="317">
        <v>48.887844071849244</v>
      </c>
      <c r="H70" s="317">
        <v>81.195051794447153</v>
      </c>
      <c r="I70" s="317"/>
      <c r="J70" s="317"/>
      <c r="K70" s="317">
        <f t="shared" si="0"/>
        <v>102.047</v>
      </c>
      <c r="L70" s="317">
        <f t="shared" si="6"/>
        <v>61.442879999999995</v>
      </c>
      <c r="M70" s="317">
        <f t="shared" si="2"/>
        <v>49.888578240000001</v>
      </c>
      <c r="N70" s="317">
        <f t="shared" si="3"/>
        <v>48.887844071849244</v>
      </c>
      <c r="O70" s="336">
        <f t="shared" si="3"/>
        <v>81.195051794447153</v>
      </c>
    </row>
    <row r="71" spans="1:15" ht="26.4" hidden="1" x14ac:dyDescent="0.3">
      <c r="A71" s="335" t="s">
        <v>316</v>
      </c>
      <c r="B71" s="317">
        <v>102047</v>
      </c>
      <c r="C71" s="317">
        <v>102047</v>
      </c>
      <c r="D71" s="317">
        <v>61442.879999999997</v>
      </c>
      <c r="E71" s="317">
        <v>61442.879999999997</v>
      </c>
      <c r="F71" s="317">
        <v>49888.578240000003</v>
      </c>
      <c r="G71" s="317">
        <v>48.887844071849244</v>
      </c>
      <c r="H71" s="317">
        <v>81.195051794447153</v>
      </c>
      <c r="I71" s="317"/>
      <c r="J71" s="317"/>
      <c r="K71" s="317">
        <f t="shared" si="0"/>
        <v>102.047</v>
      </c>
      <c r="L71" s="317">
        <f t="shared" si="6"/>
        <v>61.442879999999995</v>
      </c>
      <c r="M71" s="317">
        <f t="shared" si="2"/>
        <v>49.888578240000001</v>
      </c>
      <c r="N71" s="317">
        <f t="shared" si="3"/>
        <v>48.887844071849244</v>
      </c>
      <c r="O71" s="336">
        <f t="shared" si="3"/>
        <v>81.195051794447153</v>
      </c>
    </row>
    <row r="72" spans="1:15" ht="26.4" hidden="1" x14ac:dyDescent="0.3">
      <c r="A72" s="335" t="s">
        <v>321</v>
      </c>
      <c r="B72" s="317">
        <v>40716.800000000003</v>
      </c>
      <c r="C72" s="317">
        <v>40714.800000000003</v>
      </c>
      <c r="D72" s="317">
        <v>13019.9</v>
      </c>
      <c r="E72" s="317">
        <v>12334.9</v>
      </c>
      <c r="F72" s="317">
        <v>7925.5492800000002</v>
      </c>
      <c r="G72" s="317">
        <v>19.466015502962065</v>
      </c>
      <c r="H72" s="317">
        <v>60.872581817064656</v>
      </c>
      <c r="I72" s="317"/>
      <c r="J72" s="317"/>
      <c r="K72" s="317">
        <f t="shared" si="0"/>
        <v>40.714800000000004</v>
      </c>
      <c r="L72" s="317">
        <f t="shared" ref="L72:L103" si="11">+D72/1000</f>
        <v>13.0199</v>
      </c>
      <c r="M72" s="317">
        <f t="shared" si="2"/>
        <v>7.9255492800000003</v>
      </c>
      <c r="N72" s="317">
        <f t="shared" si="3"/>
        <v>19.466015502962065</v>
      </c>
      <c r="O72" s="336">
        <f t="shared" si="3"/>
        <v>60.872581817064656</v>
      </c>
    </row>
    <row r="73" spans="1:15" ht="26.4" hidden="1" x14ac:dyDescent="0.3">
      <c r="A73" s="335" t="s">
        <v>322</v>
      </c>
      <c r="B73" s="317">
        <v>40716.800000000003</v>
      </c>
      <c r="C73" s="317">
        <v>40714.800000000003</v>
      </c>
      <c r="D73" s="317">
        <v>13019.9</v>
      </c>
      <c r="E73" s="317">
        <v>12334.9</v>
      </c>
      <c r="F73" s="317">
        <v>7925.5492800000002</v>
      </c>
      <c r="G73" s="317">
        <v>19.466015502962065</v>
      </c>
      <c r="H73" s="317">
        <v>60.872581817064656</v>
      </c>
      <c r="I73" s="317"/>
      <c r="J73" s="317"/>
      <c r="K73" s="317">
        <f t="shared" si="0"/>
        <v>40.714800000000004</v>
      </c>
      <c r="L73" s="317">
        <f t="shared" si="11"/>
        <v>13.0199</v>
      </c>
      <c r="M73" s="317">
        <f t="shared" si="2"/>
        <v>7.9255492800000003</v>
      </c>
      <c r="N73" s="317">
        <f t="shared" si="3"/>
        <v>19.466015502962065</v>
      </c>
      <c r="O73" s="336">
        <f t="shared" si="3"/>
        <v>60.872581817064656</v>
      </c>
    </row>
    <row r="74" spans="1:15" hidden="1" x14ac:dyDescent="0.3">
      <c r="A74" s="335" t="s">
        <v>323</v>
      </c>
      <c r="B74" s="317">
        <v>45.8</v>
      </c>
      <c r="C74" s="317">
        <v>47.8</v>
      </c>
      <c r="D74" s="317">
        <v>24.9</v>
      </c>
      <c r="E74" s="317">
        <v>22.9</v>
      </c>
      <c r="F74" s="317">
        <v>18.315000000000001</v>
      </c>
      <c r="G74" s="317">
        <v>38.31589958158996</v>
      </c>
      <c r="H74" s="317">
        <v>73.55421686746989</v>
      </c>
      <c r="I74" s="317"/>
      <c r="J74" s="317"/>
      <c r="K74" s="317">
        <f t="shared" ref="K74:K137" si="12">+C74/1000</f>
        <v>4.7799999999999995E-2</v>
      </c>
      <c r="L74" s="317">
        <f t="shared" si="11"/>
        <v>2.4899999999999999E-2</v>
      </c>
      <c r="M74" s="317">
        <f t="shared" si="2"/>
        <v>1.8315000000000001E-2</v>
      </c>
      <c r="N74" s="317">
        <f t="shared" ref="N74:O137" si="13">+G74</f>
        <v>38.31589958158996</v>
      </c>
      <c r="O74" s="336">
        <f t="shared" si="13"/>
        <v>73.55421686746989</v>
      </c>
    </row>
    <row r="75" spans="1:15" hidden="1" x14ac:dyDescent="0.3">
      <c r="A75" s="330" t="s">
        <v>324</v>
      </c>
      <c r="B75" s="317"/>
      <c r="C75" s="317">
        <v>2</v>
      </c>
      <c r="D75" s="317">
        <v>2</v>
      </c>
      <c r="E75" s="317">
        <v>2</v>
      </c>
      <c r="F75" s="317">
        <v>0</v>
      </c>
      <c r="G75" s="317"/>
      <c r="H75" s="317"/>
      <c r="I75" s="317"/>
      <c r="J75" s="317"/>
      <c r="K75" s="317">
        <f t="shared" si="12"/>
        <v>2E-3</v>
      </c>
      <c r="L75" s="317">
        <f t="shared" si="11"/>
        <v>2E-3</v>
      </c>
      <c r="M75" s="317">
        <f t="shared" ref="M75:M138" si="14">+F75/1000</f>
        <v>0</v>
      </c>
      <c r="N75" s="317">
        <f t="shared" si="13"/>
        <v>0</v>
      </c>
      <c r="O75" s="336">
        <f t="shared" si="13"/>
        <v>0</v>
      </c>
    </row>
    <row r="76" spans="1:15" hidden="1" x14ac:dyDescent="0.3">
      <c r="A76" s="335" t="s">
        <v>325</v>
      </c>
      <c r="B76" s="317">
        <v>45.8</v>
      </c>
      <c r="C76" s="317">
        <v>45.8</v>
      </c>
      <c r="D76" s="317">
        <v>22.9</v>
      </c>
      <c r="E76" s="317">
        <v>20.9</v>
      </c>
      <c r="F76" s="317">
        <v>18.315000000000001</v>
      </c>
      <c r="G76" s="317">
        <v>39.989082969432324</v>
      </c>
      <c r="H76" s="317">
        <v>79.978165938864649</v>
      </c>
      <c r="I76" s="317"/>
      <c r="J76" s="317"/>
      <c r="K76" s="317">
        <f t="shared" si="12"/>
        <v>4.58E-2</v>
      </c>
      <c r="L76" s="317">
        <f t="shared" si="11"/>
        <v>2.29E-2</v>
      </c>
      <c r="M76" s="317">
        <f t="shared" si="14"/>
        <v>1.8315000000000001E-2</v>
      </c>
      <c r="N76" s="317">
        <f t="shared" si="13"/>
        <v>39.989082969432324</v>
      </c>
      <c r="O76" s="336">
        <f t="shared" si="13"/>
        <v>79.978165938864649</v>
      </c>
    </row>
    <row r="77" spans="1:15" ht="26.4" hidden="1" x14ac:dyDescent="0.3">
      <c r="A77" s="335" t="s">
        <v>326</v>
      </c>
      <c r="B77" s="317">
        <v>2319.4</v>
      </c>
      <c r="C77" s="317">
        <v>2319.4</v>
      </c>
      <c r="D77" s="317">
        <v>450</v>
      </c>
      <c r="E77" s="317">
        <v>150</v>
      </c>
      <c r="F77" s="317">
        <v>65.784859999999995</v>
      </c>
      <c r="G77" s="317">
        <v>2.8362878330602737</v>
      </c>
      <c r="H77" s="317">
        <v>14.618857777777777</v>
      </c>
      <c r="I77" s="317"/>
      <c r="J77" s="317"/>
      <c r="K77" s="317">
        <f t="shared" si="12"/>
        <v>2.3193999999999999</v>
      </c>
      <c r="L77" s="317">
        <f t="shared" si="11"/>
        <v>0.45</v>
      </c>
      <c r="M77" s="317">
        <f t="shared" si="14"/>
        <v>6.5784860000000001E-2</v>
      </c>
      <c r="N77" s="317">
        <f t="shared" si="13"/>
        <v>2.8362878330602737</v>
      </c>
      <c r="O77" s="336">
        <f t="shared" si="13"/>
        <v>14.618857777777777</v>
      </c>
    </row>
    <row r="78" spans="1:15" hidden="1" x14ac:dyDescent="0.3">
      <c r="A78" s="335" t="s">
        <v>327</v>
      </c>
      <c r="B78" s="317">
        <v>2319.4</v>
      </c>
      <c r="C78" s="317">
        <v>2319.4</v>
      </c>
      <c r="D78" s="317">
        <v>450</v>
      </c>
      <c r="E78" s="317">
        <v>150</v>
      </c>
      <c r="F78" s="317">
        <v>65.784859999999995</v>
      </c>
      <c r="G78" s="317">
        <v>2.8362878330602737</v>
      </c>
      <c r="H78" s="317">
        <v>14.618857777777777</v>
      </c>
      <c r="I78" s="317"/>
      <c r="J78" s="317"/>
      <c r="K78" s="317">
        <f t="shared" si="12"/>
        <v>2.3193999999999999</v>
      </c>
      <c r="L78" s="317">
        <f t="shared" si="11"/>
        <v>0.45</v>
      </c>
      <c r="M78" s="317">
        <f t="shared" si="14"/>
        <v>6.5784860000000001E-2</v>
      </c>
      <c r="N78" s="317">
        <f t="shared" si="13"/>
        <v>2.8362878330602737</v>
      </c>
      <c r="O78" s="336">
        <f t="shared" si="13"/>
        <v>14.618857777777777</v>
      </c>
    </row>
    <row r="79" spans="1:15" hidden="1" x14ac:dyDescent="0.3">
      <c r="A79" s="335" t="s">
        <v>263</v>
      </c>
      <c r="B79" s="317">
        <v>2319.4</v>
      </c>
      <c r="C79" s="317">
        <v>2319.4</v>
      </c>
      <c r="D79" s="317">
        <v>450</v>
      </c>
      <c r="E79" s="317">
        <v>150</v>
      </c>
      <c r="F79" s="317">
        <v>65.784859999999995</v>
      </c>
      <c r="G79" s="317">
        <v>2.8362878330602737</v>
      </c>
      <c r="H79" s="317">
        <v>14.618857777777777</v>
      </c>
      <c r="I79" s="317"/>
      <c r="J79" s="317"/>
      <c r="K79" s="317">
        <f t="shared" si="12"/>
        <v>2.3193999999999999</v>
      </c>
      <c r="L79" s="317">
        <f t="shared" si="11"/>
        <v>0.45</v>
      </c>
      <c r="M79" s="317">
        <f t="shared" si="14"/>
        <v>6.5784860000000001E-2</v>
      </c>
      <c r="N79" s="317">
        <f t="shared" si="13"/>
        <v>2.8362878330602737</v>
      </c>
      <c r="O79" s="336">
        <f t="shared" si="13"/>
        <v>14.618857777777777</v>
      </c>
    </row>
    <row r="80" spans="1:15" hidden="1" x14ac:dyDescent="0.3">
      <c r="A80" s="334" t="s">
        <v>30</v>
      </c>
      <c r="B80" s="314" t="s">
        <v>235</v>
      </c>
      <c r="C80" s="314" t="s">
        <v>235</v>
      </c>
      <c r="D80" s="314" t="s">
        <v>235</v>
      </c>
      <c r="E80" s="314" t="s">
        <v>235</v>
      </c>
      <c r="F80" s="314" t="s">
        <v>235</v>
      </c>
      <c r="G80" s="314"/>
      <c r="H80" s="314"/>
      <c r="I80" s="314"/>
      <c r="J80" s="314"/>
      <c r="K80" s="314" t="e">
        <f t="shared" si="12"/>
        <v>#VALUE!</v>
      </c>
      <c r="L80" s="314" t="e">
        <f t="shared" si="11"/>
        <v>#VALUE!</v>
      </c>
      <c r="M80" s="314" t="e">
        <f t="shared" si="14"/>
        <v>#VALUE!</v>
      </c>
      <c r="N80" s="314">
        <f t="shared" si="13"/>
        <v>0</v>
      </c>
      <c r="O80" s="329">
        <f t="shared" si="13"/>
        <v>0</v>
      </c>
    </row>
    <row r="81" spans="1:15" ht="26.4" hidden="1" x14ac:dyDescent="0.3">
      <c r="A81" s="328" t="s">
        <v>328</v>
      </c>
      <c r="B81" s="314">
        <v>43381</v>
      </c>
      <c r="C81" s="314">
        <v>43381</v>
      </c>
      <c r="D81" s="314">
        <v>25540</v>
      </c>
      <c r="E81" s="314">
        <v>21468.6</v>
      </c>
      <c r="F81" s="314">
        <v>17989.789629999999</v>
      </c>
      <c r="G81" s="314">
        <v>41.469282934925431</v>
      </c>
      <c r="H81" s="314">
        <v>70.437704111198116</v>
      </c>
      <c r="I81" s="314"/>
      <c r="J81" s="314"/>
      <c r="K81" s="314">
        <f t="shared" si="12"/>
        <v>43.381</v>
      </c>
      <c r="L81" s="314">
        <f t="shared" si="11"/>
        <v>25.54</v>
      </c>
      <c r="M81" s="314">
        <f t="shared" si="14"/>
        <v>17.989789630000001</v>
      </c>
      <c r="N81" s="314">
        <f t="shared" si="13"/>
        <v>41.469282934925431</v>
      </c>
      <c r="O81" s="329">
        <f t="shared" si="13"/>
        <v>70.437704111198116</v>
      </c>
    </row>
    <row r="82" spans="1:15" hidden="1" x14ac:dyDescent="0.3">
      <c r="A82" s="328" t="s">
        <v>329</v>
      </c>
      <c r="B82" s="314">
        <v>8682.6</v>
      </c>
      <c r="C82" s="314">
        <v>8682.6</v>
      </c>
      <c r="D82" s="314">
        <v>4445.8</v>
      </c>
      <c r="E82" s="314">
        <v>4445.8</v>
      </c>
      <c r="F82" s="314">
        <v>4077.1255900000001</v>
      </c>
      <c r="G82" s="314">
        <v>46.957427383502633</v>
      </c>
      <c r="H82" s="314">
        <v>91.707355031715323</v>
      </c>
      <c r="I82" s="314"/>
      <c r="J82" s="314"/>
      <c r="K82" s="314">
        <f t="shared" si="12"/>
        <v>8.6826000000000008</v>
      </c>
      <c r="L82" s="314">
        <f t="shared" si="11"/>
        <v>4.4458000000000002</v>
      </c>
      <c r="M82" s="314">
        <f t="shared" si="14"/>
        <v>4.0771255900000005</v>
      </c>
      <c r="N82" s="314">
        <f t="shared" si="13"/>
        <v>46.957427383502633</v>
      </c>
      <c r="O82" s="329">
        <f t="shared" si="13"/>
        <v>91.707355031715323</v>
      </c>
    </row>
    <row r="83" spans="1:15" ht="26.4" hidden="1" x14ac:dyDescent="0.3">
      <c r="A83" s="335" t="s">
        <v>314</v>
      </c>
      <c r="B83" s="317">
        <v>8682.6</v>
      </c>
      <c r="C83" s="317">
        <v>8682.6</v>
      </c>
      <c r="D83" s="317">
        <v>4445.8</v>
      </c>
      <c r="E83" s="317">
        <v>4445.8</v>
      </c>
      <c r="F83" s="317">
        <v>4077.1255900000001</v>
      </c>
      <c r="G83" s="317">
        <v>46.957427383502633</v>
      </c>
      <c r="H83" s="317">
        <v>91.707355031715323</v>
      </c>
      <c r="I83" s="317"/>
      <c r="J83" s="317"/>
      <c r="K83" s="317">
        <f t="shared" si="12"/>
        <v>8.6826000000000008</v>
      </c>
      <c r="L83" s="317">
        <f t="shared" si="11"/>
        <v>4.4458000000000002</v>
      </c>
      <c r="M83" s="317">
        <f t="shared" si="14"/>
        <v>4.0771255900000005</v>
      </c>
      <c r="N83" s="317">
        <f t="shared" si="13"/>
        <v>46.957427383502633</v>
      </c>
      <c r="O83" s="336">
        <f t="shared" si="13"/>
        <v>91.707355031715323</v>
      </c>
    </row>
    <row r="84" spans="1:15" ht="52.8" hidden="1" x14ac:dyDescent="0.3">
      <c r="A84" s="335" t="s">
        <v>315</v>
      </c>
      <c r="B84" s="317">
        <v>8682.6</v>
      </c>
      <c r="C84" s="317">
        <v>8682.6</v>
      </c>
      <c r="D84" s="317">
        <v>4445.8</v>
      </c>
      <c r="E84" s="317">
        <v>4445.8</v>
      </c>
      <c r="F84" s="317">
        <v>4077.1255900000001</v>
      </c>
      <c r="G84" s="317">
        <v>46.957427383502633</v>
      </c>
      <c r="H84" s="317">
        <v>91.707355031715323</v>
      </c>
      <c r="I84" s="317"/>
      <c r="J84" s="317"/>
      <c r="K84" s="317">
        <f t="shared" si="12"/>
        <v>8.6826000000000008</v>
      </c>
      <c r="L84" s="317">
        <f t="shared" si="11"/>
        <v>4.4458000000000002</v>
      </c>
      <c r="M84" s="317">
        <f t="shared" si="14"/>
        <v>4.0771255900000005</v>
      </c>
      <c r="N84" s="317">
        <f t="shared" si="13"/>
        <v>46.957427383502633</v>
      </c>
      <c r="O84" s="336">
        <f t="shared" si="13"/>
        <v>91.707355031715323</v>
      </c>
    </row>
    <row r="85" spans="1:15" ht="26.4" hidden="1" x14ac:dyDescent="0.3">
      <c r="A85" s="335" t="s">
        <v>316</v>
      </c>
      <c r="B85" s="317">
        <v>8682.6</v>
      </c>
      <c r="C85" s="317">
        <v>8682.6</v>
      </c>
      <c r="D85" s="317">
        <v>4445.8</v>
      </c>
      <c r="E85" s="317">
        <v>4445.8</v>
      </c>
      <c r="F85" s="317">
        <v>4077.1255900000001</v>
      </c>
      <c r="G85" s="317">
        <v>46.957427383502633</v>
      </c>
      <c r="H85" s="317">
        <v>91.707355031715323</v>
      </c>
      <c r="I85" s="317"/>
      <c r="J85" s="317"/>
      <c r="K85" s="317">
        <f t="shared" si="12"/>
        <v>8.6826000000000008</v>
      </c>
      <c r="L85" s="317">
        <f t="shared" si="11"/>
        <v>4.4458000000000002</v>
      </c>
      <c r="M85" s="317">
        <f t="shared" si="14"/>
        <v>4.0771255900000005</v>
      </c>
      <c r="N85" s="317">
        <f t="shared" si="13"/>
        <v>46.957427383502633</v>
      </c>
      <c r="O85" s="336">
        <f t="shared" si="13"/>
        <v>91.707355031715323</v>
      </c>
    </row>
    <row r="86" spans="1:15" hidden="1" x14ac:dyDescent="0.3">
      <c r="A86" s="334" t="s">
        <v>30</v>
      </c>
      <c r="B86" s="314" t="s">
        <v>235</v>
      </c>
      <c r="C86" s="314" t="s">
        <v>235</v>
      </c>
      <c r="D86" s="314" t="s">
        <v>235</v>
      </c>
      <c r="E86" s="314" t="s">
        <v>235</v>
      </c>
      <c r="F86" s="314" t="s">
        <v>235</v>
      </c>
      <c r="G86" s="314"/>
      <c r="H86" s="314"/>
      <c r="I86" s="314"/>
      <c r="J86" s="314"/>
      <c r="K86" s="314" t="e">
        <f t="shared" si="12"/>
        <v>#VALUE!</v>
      </c>
      <c r="L86" s="314" t="e">
        <f t="shared" si="11"/>
        <v>#VALUE!</v>
      </c>
      <c r="M86" s="314" t="e">
        <f t="shared" si="14"/>
        <v>#VALUE!</v>
      </c>
      <c r="N86" s="314">
        <f t="shared" si="13"/>
        <v>0</v>
      </c>
      <c r="O86" s="329">
        <f t="shared" si="13"/>
        <v>0</v>
      </c>
    </row>
    <row r="87" spans="1:15" ht="39.6" hidden="1" x14ac:dyDescent="0.3">
      <c r="A87" s="328" t="s">
        <v>330</v>
      </c>
      <c r="B87" s="314">
        <v>88</v>
      </c>
      <c r="C87" s="314">
        <v>88</v>
      </c>
      <c r="D87" s="314">
        <v>88</v>
      </c>
      <c r="E87" s="314">
        <v>88</v>
      </c>
      <c r="F87" s="314">
        <v>0</v>
      </c>
      <c r="G87" s="314">
        <v>0</v>
      </c>
      <c r="H87" s="314">
        <v>0</v>
      </c>
      <c r="I87" s="314"/>
      <c r="J87" s="314"/>
      <c r="K87" s="314">
        <f t="shared" si="12"/>
        <v>8.7999999999999995E-2</v>
      </c>
      <c r="L87" s="314">
        <f t="shared" si="11"/>
        <v>8.7999999999999995E-2</v>
      </c>
      <c r="M87" s="314">
        <f t="shared" si="14"/>
        <v>0</v>
      </c>
      <c r="N87" s="314">
        <f t="shared" si="13"/>
        <v>0</v>
      </c>
      <c r="O87" s="329">
        <f t="shared" si="13"/>
        <v>0</v>
      </c>
    </row>
    <row r="88" spans="1:15" ht="39.6" hidden="1" x14ac:dyDescent="0.3">
      <c r="A88" s="335" t="s">
        <v>330</v>
      </c>
      <c r="B88" s="317">
        <v>88</v>
      </c>
      <c r="C88" s="317">
        <v>88</v>
      </c>
      <c r="D88" s="317">
        <v>88</v>
      </c>
      <c r="E88" s="317">
        <v>88</v>
      </c>
      <c r="F88" s="317">
        <v>0</v>
      </c>
      <c r="G88" s="317">
        <v>0</v>
      </c>
      <c r="H88" s="317">
        <v>0</v>
      </c>
      <c r="I88" s="317"/>
      <c r="J88" s="317"/>
      <c r="K88" s="317">
        <f t="shared" si="12"/>
        <v>8.7999999999999995E-2</v>
      </c>
      <c r="L88" s="317">
        <f t="shared" si="11"/>
        <v>8.7999999999999995E-2</v>
      </c>
      <c r="M88" s="317">
        <f t="shared" si="14"/>
        <v>0</v>
      </c>
      <c r="N88" s="317">
        <f t="shared" si="13"/>
        <v>0</v>
      </c>
      <c r="O88" s="336">
        <f t="shared" si="13"/>
        <v>0</v>
      </c>
    </row>
    <row r="89" spans="1:15" ht="26.4" hidden="1" x14ac:dyDescent="0.3">
      <c r="A89" s="335" t="s">
        <v>321</v>
      </c>
      <c r="B89" s="317">
        <v>88</v>
      </c>
      <c r="C89" s="317">
        <v>88</v>
      </c>
      <c r="D89" s="317">
        <v>88</v>
      </c>
      <c r="E89" s="317">
        <v>88</v>
      </c>
      <c r="F89" s="317">
        <v>0</v>
      </c>
      <c r="G89" s="317">
        <v>0</v>
      </c>
      <c r="H89" s="317">
        <v>0</v>
      </c>
      <c r="I89" s="317"/>
      <c r="J89" s="317"/>
      <c r="K89" s="317">
        <f t="shared" si="12"/>
        <v>8.7999999999999995E-2</v>
      </c>
      <c r="L89" s="317">
        <f t="shared" si="11"/>
        <v>8.7999999999999995E-2</v>
      </c>
      <c r="M89" s="317">
        <f t="shared" si="14"/>
        <v>0</v>
      </c>
      <c r="N89" s="317">
        <f t="shared" si="13"/>
        <v>0</v>
      </c>
      <c r="O89" s="336">
        <f t="shared" si="13"/>
        <v>0</v>
      </c>
    </row>
    <row r="90" spans="1:15" ht="26.4" hidden="1" x14ac:dyDescent="0.3">
      <c r="A90" s="335" t="s">
        <v>322</v>
      </c>
      <c r="B90" s="317">
        <v>88</v>
      </c>
      <c r="C90" s="317">
        <v>88</v>
      </c>
      <c r="D90" s="317">
        <v>88</v>
      </c>
      <c r="E90" s="317">
        <v>88</v>
      </c>
      <c r="F90" s="317">
        <v>0</v>
      </c>
      <c r="G90" s="317">
        <v>0</v>
      </c>
      <c r="H90" s="317">
        <v>0</v>
      </c>
      <c r="I90" s="317"/>
      <c r="J90" s="317"/>
      <c r="K90" s="317">
        <f t="shared" si="12"/>
        <v>8.7999999999999995E-2</v>
      </c>
      <c r="L90" s="317">
        <f t="shared" si="11"/>
        <v>8.7999999999999995E-2</v>
      </c>
      <c r="M90" s="317">
        <f t="shared" si="14"/>
        <v>0</v>
      </c>
      <c r="N90" s="317">
        <f t="shared" si="13"/>
        <v>0</v>
      </c>
      <c r="O90" s="336">
        <f t="shared" si="13"/>
        <v>0</v>
      </c>
    </row>
    <row r="91" spans="1:15" hidden="1" x14ac:dyDescent="0.3">
      <c r="A91" s="334" t="s">
        <v>30</v>
      </c>
      <c r="B91" s="314" t="s">
        <v>235</v>
      </c>
      <c r="C91" s="314" t="s">
        <v>235</v>
      </c>
      <c r="D91" s="314" t="s">
        <v>235</v>
      </c>
      <c r="E91" s="314" t="s">
        <v>235</v>
      </c>
      <c r="F91" s="314" t="s">
        <v>235</v>
      </c>
      <c r="G91" s="314"/>
      <c r="H91" s="314"/>
      <c r="I91" s="314"/>
      <c r="J91" s="314"/>
      <c r="K91" s="314" t="e">
        <f t="shared" si="12"/>
        <v>#VALUE!</v>
      </c>
      <c r="L91" s="314" t="e">
        <f t="shared" si="11"/>
        <v>#VALUE!</v>
      </c>
      <c r="M91" s="314" t="e">
        <f t="shared" si="14"/>
        <v>#VALUE!</v>
      </c>
      <c r="N91" s="314">
        <f t="shared" si="13"/>
        <v>0</v>
      </c>
      <c r="O91" s="329">
        <f t="shared" si="13"/>
        <v>0</v>
      </c>
    </row>
    <row r="92" spans="1:15" hidden="1" x14ac:dyDescent="0.3">
      <c r="A92" s="328" t="s">
        <v>331</v>
      </c>
      <c r="B92" s="314">
        <v>4071.4</v>
      </c>
      <c r="C92" s="314">
        <v>4071.4</v>
      </c>
      <c r="D92" s="314">
        <v>4071.4</v>
      </c>
      <c r="E92" s="314">
        <v>0</v>
      </c>
      <c r="F92" s="314">
        <v>0</v>
      </c>
      <c r="G92" s="314">
        <v>0</v>
      </c>
      <c r="H92" s="314">
        <v>0</v>
      </c>
      <c r="I92" s="314"/>
      <c r="J92" s="314"/>
      <c r="K92" s="314">
        <f t="shared" si="12"/>
        <v>4.0713999999999997</v>
      </c>
      <c r="L92" s="314">
        <f t="shared" si="11"/>
        <v>4.0713999999999997</v>
      </c>
      <c r="M92" s="314">
        <f t="shared" si="14"/>
        <v>0</v>
      </c>
      <c r="N92" s="314">
        <f t="shared" si="13"/>
        <v>0</v>
      </c>
      <c r="O92" s="329">
        <f t="shared" si="13"/>
        <v>0</v>
      </c>
    </row>
    <row r="93" spans="1:15" hidden="1" x14ac:dyDescent="0.3">
      <c r="A93" s="335" t="s">
        <v>332</v>
      </c>
      <c r="B93" s="317">
        <v>4071.4</v>
      </c>
      <c r="C93" s="317">
        <v>4071.4</v>
      </c>
      <c r="D93" s="317">
        <v>4071.4</v>
      </c>
      <c r="E93" s="317">
        <v>0</v>
      </c>
      <c r="F93" s="317">
        <v>0</v>
      </c>
      <c r="G93" s="317">
        <v>0</v>
      </c>
      <c r="H93" s="317">
        <v>0</v>
      </c>
      <c r="I93" s="317"/>
      <c r="J93" s="317"/>
      <c r="K93" s="317">
        <f t="shared" si="12"/>
        <v>4.0713999999999997</v>
      </c>
      <c r="L93" s="317">
        <f t="shared" si="11"/>
        <v>4.0713999999999997</v>
      </c>
      <c r="M93" s="317">
        <f t="shared" si="14"/>
        <v>0</v>
      </c>
      <c r="N93" s="317">
        <f t="shared" si="13"/>
        <v>0</v>
      </c>
      <c r="O93" s="336">
        <f t="shared" si="13"/>
        <v>0</v>
      </c>
    </row>
    <row r="94" spans="1:15" hidden="1" x14ac:dyDescent="0.3">
      <c r="A94" s="335" t="s">
        <v>323</v>
      </c>
      <c r="B94" s="317">
        <v>4071.4</v>
      </c>
      <c r="C94" s="317">
        <v>4071.4</v>
      </c>
      <c r="D94" s="317">
        <v>4071.4</v>
      </c>
      <c r="E94" s="317">
        <v>0</v>
      </c>
      <c r="F94" s="317">
        <v>0</v>
      </c>
      <c r="G94" s="317">
        <v>0</v>
      </c>
      <c r="H94" s="317">
        <v>0</v>
      </c>
      <c r="I94" s="317"/>
      <c r="J94" s="317"/>
      <c r="K94" s="317">
        <f t="shared" si="12"/>
        <v>4.0713999999999997</v>
      </c>
      <c r="L94" s="317">
        <f t="shared" si="11"/>
        <v>4.0713999999999997</v>
      </c>
      <c r="M94" s="317">
        <f t="shared" si="14"/>
        <v>0</v>
      </c>
      <c r="N94" s="317">
        <f t="shared" si="13"/>
        <v>0</v>
      </c>
      <c r="O94" s="336">
        <f t="shared" si="13"/>
        <v>0</v>
      </c>
    </row>
    <row r="95" spans="1:15" hidden="1" x14ac:dyDescent="0.3">
      <c r="A95" s="335" t="s">
        <v>333</v>
      </c>
      <c r="B95" s="317">
        <v>4071.4</v>
      </c>
      <c r="C95" s="317">
        <v>4071.4</v>
      </c>
      <c r="D95" s="317">
        <v>4071.4</v>
      </c>
      <c r="E95" s="317">
        <v>0</v>
      </c>
      <c r="F95" s="317">
        <v>0</v>
      </c>
      <c r="G95" s="317">
        <v>0</v>
      </c>
      <c r="H95" s="317">
        <v>0</v>
      </c>
      <c r="I95" s="317"/>
      <c r="J95" s="317"/>
      <c r="K95" s="317">
        <f t="shared" si="12"/>
        <v>4.0713999999999997</v>
      </c>
      <c r="L95" s="317">
        <f t="shared" si="11"/>
        <v>4.0713999999999997</v>
      </c>
      <c r="M95" s="317">
        <f t="shared" si="14"/>
        <v>0</v>
      </c>
      <c r="N95" s="317">
        <f t="shared" si="13"/>
        <v>0</v>
      </c>
      <c r="O95" s="336">
        <f t="shared" si="13"/>
        <v>0</v>
      </c>
    </row>
    <row r="96" spans="1:15" hidden="1" x14ac:dyDescent="0.3">
      <c r="A96" s="334" t="s">
        <v>30</v>
      </c>
      <c r="B96" s="314" t="s">
        <v>235</v>
      </c>
      <c r="C96" s="314" t="s">
        <v>235</v>
      </c>
      <c r="D96" s="314" t="s">
        <v>235</v>
      </c>
      <c r="E96" s="314" t="s">
        <v>235</v>
      </c>
      <c r="F96" s="314" t="s">
        <v>235</v>
      </c>
      <c r="G96" s="314"/>
      <c r="H96" s="314"/>
      <c r="I96" s="314"/>
      <c r="J96" s="314"/>
      <c r="K96" s="314" t="e">
        <f t="shared" si="12"/>
        <v>#VALUE!</v>
      </c>
      <c r="L96" s="314" t="e">
        <f t="shared" si="11"/>
        <v>#VALUE!</v>
      </c>
      <c r="M96" s="314" t="e">
        <f t="shared" si="14"/>
        <v>#VALUE!</v>
      </c>
      <c r="N96" s="314">
        <f t="shared" si="13"/>
        <v>0</v>
      </c>
      <c r="O96" s="329">
        <f t="shared" si="13"/>
        <v>0</v>
      </c>
    </row>
    <row r="97" spans="1:15" hidden="1" x14ac:dyDescent="0.3">
      <c r="A97" s="328" t="s">
        <v>334</v>
      </c>
      <c r="B97" s="314">
        <v>30539</v>
      </c>
      <c r="C97" s="314">
        <v>30539</v>
      </c>
      <c r="D97" s="314">
        <v>16934.8</v>
      </c>
      <c r="E97" s="314">
        <v>16934.8</v>
      </c>
      <c r="F97" s="314">
        <v>13912.664039999998</v>
      </c>
      <c r="G97" s="314">
        <v>45.557038671862202</v>
      </c>
      <c r="H97" s="314">
        <v>82.154286085457144</v>
      </c>
      <c r="I97" s="314"/>
      <c r="J97" s="314"/>
      <c r="K97" s="314">
        <f t="shared" si="12"/>
        <v>30.539000000000001</v>
      </c>
      <c r="L97" s="314">
        <f t="shared" si="11"/>
        <v>16.934799999999999</v>
      </c>
      <c r="M97" s="314">
        <f t="shared" si="14"/>
        <v>13.912664039999997</v>
      </c>
      <c r="N97" s="314">
        <f t="shared" si="13"/>
        <v>45.557038671862202</v>
      </c>
      <c r="O97" s="329">
        <f t="shared" si="13"/>
        <v>82.154286085457144</v>
      </c>
    </row>
    <row r="98" spans="1:15" ht="26.4" hidden="1" x14ac:dyDescent="0.3">
      <c r="A98" s="335" t="s">
        <v>314</v>
      </c>
      <c r="B98" s="317">
        <v>30539</v>
      </c>
      <c r="C98" s="317">
        <v>30539</v>
      </c>
      <c r="D98" s="317">
        <v>16934.8</v>
      </c>
      <c r="E98" s="317">
        <v>16934.8</v>
      </c>
      <c r="F98" s="317">
        <v>13912.664039999998</v>
      </c>
      <c r="G98" s="317">
        <v>45.557038671862202</v>
      </c>
      <c r="H98" s="317">
        <v>82.154286085457144</v>
      </c>
      <c r="I98" s="317"/>
      <c r="J98" s="317"/>
      <c r="K98" s="317">
        <f t="shared" si="12"/>
        <v>30.539000000000001</v>
      </c>
      <c r="L98" s="317">
        <f t="shared" si="11"/>
        <v>16.934799999999999</v>
      </c>
      <c r="M98" s="317">
        <f t="shared" si="14"/>
        <v>13.912664039999997</v>
      </c>
      <c r="N98" s="317">
        <f t="shared" si="13"/>
        <v>45.557038671862202</v>
      </c>
      <c r="O98" s="336">
        <f t="shared" si="13"/>
        <v>82.154286085457144</v>
      </c>
    </row>
    <row r="99" spans="1:15" ht="52.8" hidden="1" x14ac:dyDescent="0.3">
      <c r="A99" s="335" t="s">
        <v>315</v>
      </c>
      <c r="B99" s="317">
        <v>29891.8</v>
      </c>
      <c r="C99" s="317">
        <v>29891.8</v>
      </c>
      <c r="D99" s="317">
        <v>16595.8</v>
      </c>
      <c r="E99" s="317">
        <v>16595.8</v>
      </c>
      <c r="F99" s="317">
        <v>13699.355099999999</v>
      </c>
      <c r="G99" s="317">
        <v>45.829809847516707</v>
      </c>
      <c r="H99" s="317">
        <v>82.54712095831475</v>
      </c>
      <c r="I99" s="317"/>
      <c r="J99" s="317"/>
      <c r="K99" s="317">
        <f t="shared" si="12"/>
        <v>29.8918</v>
      </c>
      <c r="L99" s="317">
        <f t="shared" si="11"/>
        <v>16.595800000000001</v>
      </c>
      <c r="M99" s="317">
        <f t="shared" si="14"/>
        <v>13.699355099999998</v>
      </c>
      <c r="N99" s="317">
        <f t="shared" si="13"/>
        <v>45.829809847516707</v>
      </c>
      <c r="O99" s="336">
        <f t="shared" si="13"/>
        <v>82.54712095831475</v>
      </c>
    </row>
    <row r="100" spans="1:15" ht="26.4" hidden="1" x14ac:dyDescent="0.3">
      <c r="A100" s="335" t="s">
        <v>316</v>
      </c>
      <c r="B100" s="317">
        <v>29891.8</v>
      </c>
      <c r="C100" s="317">
        <v>29891.8</v>
      </c>
      <c r="D100" s="317">
        <v>16595.8</v>
      </c>
      <c r="E100" s="317">
        <v>16595.8</v>
      </c>
      <c r="F100" s="317">
        <v>13699.355099999999</v>
      </c>
      <c r="G100" s="317">
        <v>45.829809847516707</v>
      </c>
      <c r="H100" s="317">
        <v>82.54712095831475</v>
      </c>
      <c r="I100" s="317"/>
      <c r="J100" s="317"/>
      <c r="K100" s="317">
        <f t="shared" si="12"/>
        <v>29.8918</v>
      </c>
      <c r="L100" s="317">
        <f t="shared" si="11"/>
        <v>16.595800000000001</v>
      </c>
      <c r="M100" s="317">
        <f t="shared" si="14"/>
        <v>13.699355099999998</v>
      </c>
      <c r="N100" s="317">
        <f t="shared" si="13"/>
        <v>45.829809847516707</v>
      </c>
      <c r="O100" s="336">
        <f t="shared" si="13"/>
        <v>82.54712095831475</v>
      </c>
    </row>
    <row r="101" spans="1:15" ht="26.4" hidden="1" x14ac:dyDescent="0.3">
      <c r="A101" s="335" t="s">
        <v>321</v>
      </c>
      <c r="B101" s="317">
        <v>629.20000000000005</v>
      </c>
      <c r="C101" s="317">
        <v>629.20000000000005</v>
      </c>
      <c r="D101" s="317">
        <v>330</v>
      </c>
      <c r="E101" s="317">
        <v>330</v>
      </c>
      <c r="F101" s="317">
        <v>204.59793999999999</v>
      </c>
      <c r="G101" s="317">
        <v>32.517155117609661</v>
      </c>
      <c r="H101" s="317">
        <v>61.999375757575756</v>
      </c>
      <c r="I101" s="317"/>
      <c r="J101" s="317"/>
      <c r="K101" s="317">
        <f t="shared" si="12"/>
        <v>0.62920000000000009</v>
      </c>
      <c r="L101" s="317">
        <f t="shared" si="11"/>
        <v>0.33</v>
      </c>
      <c r="M101" s="317">
        <f t="shared" si="14"/>
        <v>0.20459794000000001</v>
      </c>
      <c r="N101" s="317">
        <f t="shared" si="13"/>
        <v>32.517155117609661</v>
      </c>
      <c r="O101" s="336">
        <f t="shared" si="13"/>
        <v>61.999375757575756</v>
      </c>
    </row>
    <row r="102" spans="1:15" ht="26.4" hidden="1" x14ac:dyDescent="0.3">
      <c r="A102" s="335" t="s">
        <v>322</v>
      </c>
      <c r="B102" s="317">
        <v>629.20000000000005</v>
      </c>
      <c r="C102" s="317">
        <v>629.20000000000005</v>
      </c>
      <c r="D102" s="317">
        <v>330</v>
      </c>
      <c r="E102" s="317">
        <v>330</v>
      </c>
      <c r="F102" s="317">
        <v>204.59793999999999</v>
      </c>
      <c r="G102" s="317">
        <v>32.517155117609661</v>
      </c>
      <c r="H102" s="317">
        <v>61.999375757575756</v>
      </c>
      <c r="I102" s="317"/>
      <c r="J102" s="317"/>
      <c r="K102" s="317">
        <f t="shared" si="12"/>
        <v>0.62920000000000009</v>
      </c>
      <c r="L102" s="317">
        <f t="shared" si="11"/>
        <v>0.33</v>
      </c>
      <c r="M102" s="317">
        <f t="shared" si="14"/>
        <v>0.20459794000000001</v>
      </c>
      <c r="N102" s="317">
        <f t="shared" si="13"/>
        <v>32.517155117609661</v>
      </c>
      <c r="O102" s="336">
        <f t="shared" si="13"/>
        <v>61.999375757575756</v>
      </c>
    </row>
    <row r="103" spans="1:15" hidden="1" x14ac:dyDescent="0.3">
      <c r="A103" s="335" t="s">
        <v>323</v>
      </c>
      <c r="B103" s="317">
        <v>18</v>
      </c>
      <c r="C103" s="317">
        <v>18</v>
      </c>
      <c r="D103" s="317">
        <v>9</v>
      </c>
      <c r="E103" s="317">
        <v>9</v>
      </c>
      <c r="F103" s="317">
        <v>8.7110000000000003</v>
      </c>
      <c r="G103" s="317">
        <v>48.394444444444446</v>
      </c>
      <c r="H103" s="317">
        <v>96.788888888888891</v>
      </c>
      <c r="I103" s="317"/>
      <c r="J103" s="317"/>
      <c r="K103" s="317">
        <f t="shared" si="12"/>
        <v>1.7999999999999999E-2</v>
      </c>
      <c r="L103" s="317">
        <f t="shared" si="11"/>
        <v>8.9999999999999993E-3</v>
      </c>
      <c r="M103" s="317">
        <f t="shared" si="14"/>
        <v>8.711E-3</v>
      </c>
      <c r="N103" s="317">
        <f t="shared" si="13"/>
        <v>48.394444444444446</v>
      </c>
      <c r="O103" s="336">
        <f t="shared" si="13"/>
        <v>96.788888888888891</v>
      </c>
    </row>
    <row r="104" spans="1:15" hidden="1" x14ac:dyDescent="0.3">
      <c r="A104" s="335" t="s">
        <v>325</v>
      </c>
      <c r="B104" s="317">
        <v>18</v>
      </c>
      <c r="C104" s="317">
        <v>18</v>
      </c>
      <c r="D104" s="317">
        <v>9</v>
      </c>
      <c r="E104" s="317">
        <v>9</v>
      </c>
      <c r="F104" s="317">
        <v>8.7110000000000003</v>
      </c>
      <c r="G104" s="317">
        <v>48.394444444444446</v>
      </c>
      <c r="H104" s="317">
        <v>96.788888888888891</v>
      </c>
      <c r="I104" s="317"/>
      <c r="J104" s="317"/>
      <c r="K104" s="317">
        <f t="shared" si="12"/>
        <v>1.7999999999999999E-2</v>
      </c>
      <c r="L104" s="317">
        <f t="shared" ref="L104:L135" si="15">+D104/1000</f>
        <v>8.9999999999999993E-3</v>
      </c>
      <c r="M104" s="317">
        <f t="shared" si="14"/>
        <v>8.711E-3</v>
      </c>
      <c r="N104" s="317">
        <f t="shared" si="13"/>
        <v>48.394444444444446</v>
      </c>
      <c r="O104" s="336">
        <f t="shared" si="13"/>
        <v>96.788888888888891</v>
      </c>
    </row>
    <row r="105" spans="1:15" hidden="1" x14ac:dyDescent="0.3">
      <c r="A105" s="334" t="s">
        <v>30</v>
      </c>
      <c r="B105" s="314" t="s">
        <v>235</v>
      </c>
      <c r="C105" s="314" t="s">
        <v>235</v>
      </c>
      <c r="D105" s="314" t="s">
        <v>235</v>
      </c>
      <c r="E105" s="314" t="s">
        <v>235</v>
      </c>
      <c r="F105" s="314" t="s">
        <v>235</v>
      </c>
      <c r="G105" s="314"/>
      <c r="H105" s="314"/>
      <c r="I105" s="314"/>
      <c r="J105" s="314"/>
      <c r="K105" s="314" t="e">
        <f t="shared" si="12"/>
        <v>#VALUE!</v>
      </c>
      <c r="L105" s="314" t="e">
        <f t="shared" si="15"/>
        <v>#VALUE!</v>
      </c>
      <c r="M105" s="314" t="e">
        <f t="shared" si="14"/>
        <v>#VALUE!</v>
      </c>
      <c r="N105" s="314">
        <f t="shared" si="13"/>
        <v>0</v>
      </c>
      <c r="O105" s="329">
        <f t="shared" si="13"/>
        <v>0</v>
      </c>
    </row>
    <row r="106" spans="1:15" ht="26.4" hidden="1" x14ac:dyDescent="0.3">
      <c r="A106" s="328" t="s">
        <v>335</v>
      </c>
      <c r="B106" s="314">
        <v>46738.5</v>
      </c>
      <c r="C106" s="314">
        <v>46738.5</v>
      </c>
      <c r="D106" s="314">
        <v>25343</v>
      </c>
      <c r="E106" s="314">
        <v>23110.3</v>
      </c>
      <c r="F106" s="314">
        <v>22301.435209999996</v>
      </c>
      <c r="G106" s="314">
        <v>47.71534219112722</v>
      </c>
      <c r="H106" s="314">
        <v>87.998402754212194</v>
      </c>
      <c r="I106" s="314"/>
      <c r="J106" s="314"/>
      <c r="K106" s="314">
        <f t="shared" si="12"/>
        <v>46.738500000000002</v>
      </c>
      <c r="L106" s="314">
        <f t="shared" si="15"/>
        <v>25.343</v>
      </c>
      <c r="M106" s="314">
        <f t="shared" si="14"/>
        <v>22.301435209999998</v>
      </c>
      <c r="N106" s="314">
        <f t="shared" si="13"/>
        <v>47.71534219112722</v>
      </c>
      <c r="O106" s="329">
        <f t="shared" si="13"/>
        <v>87.998402754212194</v>
      </c>
    </row>
    <row r="107" spans="1:15" ht="26.4" hidden="1" x14ac:dyDescent="0.3">
      <c r="A107" s="335" t="s">
        <v>314</v>
      </c>
      <c r="B107" s="317">
        <v>46738.5</v>
      </c>
      <c r="C107" s="317">
        <v>46738.5</v>
      </c>
      <c r="D107" s="317">
        <v>25343</v>
      </c>
      <c r="E107" s="317">
        <v>23110.3</v>
      </c>
      <c r="F107" s="317">
        <v>22301.435209999996</v>
      </c>
      <c r="G107" s="317">
        <v>47.71534219112722</v>
      </c>
      <c r="H107" s="317">
        <v>87.998402754212194</v>
      </c>
      <c r="I107" s="317"/>
      <c r="J107" s="317"/>
      <c r="K107" s="317">
        <f t="shared" si="12"/>
        <v>46.738500000000002</v>
      </c>
      <c r="L107" s="317">
        <f t="shared" si="15"/>
        <v>25.343</v>
      </c>
      <c r="M107" s="317">
        <f t="shared" si="14"/>
        <v>22.301435209999998</v>
      </c>
      <c r="N107" s="317">
        <f t="shared" si="13"/>
        <v>47.71534219112722</v>
      </c>
      <c r="O107" s="336">
        <f t="shared" si="13"/>
        <v>87.998402754212194</v>
      </c>
    </row>
    <row r="108" spans="1:15" ht="52.8" hidden="1" x14ac:dyDescent="0.3">
      <c r="A108" s="335" t="s">
        <v>315</v>
      </c>
      <c r="B108" s="317">
        <v>43432.800000000003</v>
      </c>
      <c r="C108" s="317">
        <v>43432.800000000003</v>
      </c>
      <c r="D108" s="317">
        <v>23295</v>
      </c>
      <c r="E108" s="317">
        <v>21965</v>
      </c>
      <c r="F108" s="317">
        <v>21237.325689999998</v>
      </c>
      <c r="G108" s="317">
        <v>48.896975764859732</v>
      </c>
      <c r="H108" s="317">
        <v>91.16688426701009</v>
      </c>
      <c r="I108" s="317"/>
      <c r="J108" s="317"/>
      <c r="K108" s="317">
        <f t="shared" si="12"/>
        <v>43.4328</v>
      </c>
      <c r="L108" s="317">
        <f t="shared" si="15"/>
        <v>23.295000000000002</v>
      </c>
      <c r="M108" s="317">
        <f t="shared" si="14"/>
        <v>21.237325689999999</v>
      </c>
      <c r="N108" s="317">
        <f t="shared" si="13"/>
        <v>48.896975764859732</v>
      </c>
      <c r="O108" s="336">
        <f t="shared" si="13"/>
        <v>91.16688426701009</v>
      </c>
    </row>
    <row r="109" spans="1:15" ht="26.4" hidden="1" x14ac:dyDescent="0.3">
      <c r="A109" s="335" t="s">
        <v>316</v>
      </c>
      <c r="B109" s="317">
        <v>43432.800000000003</v>
      </c>
      <c r="C109" s="317">
        <v>43432.800000000003</v>
      </c>
      <c r="D109" s="317">
        <v>23295</v>
      </c>
      <c r="E109" s="317">
        <v>21965</v>
      </c>
      <c r="F109" s="317">
        <v>21237.325689999998</v>
      </c>
      <c r="G109" s="317">
        <v>48.896975764859732</v>
      </c>
      <c r="H109" s="317">
        <v>91.16688426701009</v>
      </c>
      <c r="I109" s="317"/>
      <c r="J109" s="317"/>
      <c r="K109" s="317">
        <f t="shared" si="12"/>
        <v>43.4328</v>
      </c>
      <c r="L109" s="317">
        <f t="shared" si="15"/>
        <v>23.295000000000002</v>
      </c>
      <c r="M109" s="317">
        <f t="shared" si="14"/>
        <v>21.237325689999999</v>
      </c>
      <c r="N109" s="317">
        <f t="shared" si="13"/>
        <v>48.896975764859732</v>
      </c>
      <c r="O109" s="336">
        <f t="shared" si="13"/>
        <v>91.16688426701009</v>
      </c>
    </row>
    <row r="110" spans="1:15" ht="26.4" hidden="1" x14ac:dyDescent="0.3">
      <c r="A110" s="335" t="s">
        <v>321</v>
      </c>
      <c r="B110" s="317">
        <v>3056</v>
      </c>
      <c r="C110" s="317">
        <v>3026</v>
      </c>
      <c r="D110" s="317">
        <v>1783</v>
      </c>
      <c r="E110" s="317">
        <v>883</v>
      </c>
      <c r="F110" s="317">
        <v>818.11653999999999</v>
      </c>
      <c r="G110" s="317">
        <v>27.036237276933246</v>
      </c>
      <c r="H110" s="317">
        <v>45.884270330902972</v>
      </c>
      <c r="I110" s="317"/>
      <c r="J110" s="317"/>
      <c r="K110" s="317">
        <f t="shared" si="12"/>
        <v>3.0259999999999998</v>
      </c>
      <c r="L110" s="317">
        <f t="shared" si="15"/>
        <v>1.7829999999999999</v>
      </c>
      <c r="M110" s="317">
        <f t="shared" si="14"/>
        <v>0.81811654</v>
      </c>
      <c r="N110" s="317">
        <f t="shared" si="13"/>
        <v>27.036237276933246</v>
      </c>
      <c r="O110" s="336">
        <f t="shared" si="13"/>
        <v>45.884270330902972</v>
      </c>
    </row>
    <row r="111" spans="1:15" ht="26.4" hidden="1" x14ac:dyDescent="0.3">
      <c r="A111" s="335" t="s">
        <v>322</v>
      </c>
      <c r="B111" s="317">
        <v>3056</v>
      </c>
      <c r="C111" s="317">
        <v>3026</v>
      </c>
      <c r="D111" s="317">
        <v>1783</v>
      </c>
      <c r="E111" s="317">
        <v>883</v>
      </c>
      <c r="F111" s="317">
        <v>818.11653999999999</v>
      </c>
      <c r="G111" s="317">
        <v>27.036237276933246</v>
      </c>
      <c r="H111" s="317">
        <v>45.884270330902972</v>
      </c>
      <c r="I111" s="317"/>
      <c r="J111" s="317"/>
      <c r="K111" s="317">
        <f t="shared" si="12"/>
        <v>3.0259999999999998</v>
      </c>
      <c r="L111" s="317">
        <f t="shared" si="15"/>
        <v>1.7829999999999999</v>
      </c>
      <c r="M111" s="317">
        <f t="shared" si="14"/>
        <v>0.81811654</v>
      </c>
      <c r="N111" s="317">
        <f t="shared" si="13"/>
        <v>27.036237276933246</v>
      </c>
      <c r="O111" s="336">
        <f t="shared" si="13"/>
        <v>45.884270330902972</v>
      </c>
    </row>
    <row r="112" spans="1:15" hidden="1" x14ac:dyDescent="0.3">
      <c r="A112" s="335" t="s">
        <v>323</v>
      </c>
      <c r="B112" s="317">
        <v>249.7</v>
      </c>
      <c r="C112" s="317">
        <v>279.7</v>
      </c>
      <c r="D112" s="317">
        <v>265</v>
      </c>
      <c r="E112" s="317">
        <v>262.3</v>
      </c>
      <c r="F112" s="317">
        <v>245.99297999999999</v>
      </c>
      <c r="G112" s="317">
        <v>87.948866642831604</v>
      </c>
      <c r="H112" s="317">
        <v>92.82753962264151</v>
      </c>
      <c r="I112" s="317"/>
      <c r="J112" s="317"/>
      <c r="K112" s="317">
        <f t="shared" si="12"/>
        <v>0.2797</v>
      </c>
      <c r="L112" s="317">
        <f t="shared" si="15"/>
        <v>0.26500000000000001</v>
      </c>
      <c r="M112" s="317">
        <f t="shared" si="14"/>
        <v>0.24599298</v>
      </c>
      <c r="N112" s="317">
        <f t="shared" si="13"/>
        <v>87.948866642831604</v>
      </c>
      <c r="O112" s="336">
        <f t="shared" si="13"/>
        <v>92.82753962264151</v>
      </c>
    </row>
    <row r="113" spans="1:15" hidden="1" x14ac:dyDescent="0.3">
      <c r="A113" s="335" t="s">
        <v>324</v>
      </c>
      <c r="B113" s="317">
        <v>200</v>
      </c>
      <c r="C113" s="317">
        <v>230</v>
      </c>
      <c r="D113" s="317">
        <v>230</v>
      </c>
      <c r="E113" s="317">
        <v>227.3</v>
      </c>
      <c r="F113" s="317">
        <v>227.26998</v>
      </c>
      <c r="G113" s="317">
        <v>98.813034782608696</v>
      </c>
      <c r="H113" s="317">
        <v>98.813034782608696</v>
      </c>
      <c r="I113" s="317"/>
      <c r="J113" s="317"/>
      <c r="K113" s="317">
        <f t="shared" si="12"/>
        <v>0.23</v>
      </c>
      <c r="L113" s="317">
        <f t="shared" si="15"/>
        <v>0.23</v>
      </c>
      <c r="M113" s="317">
        <f t="shared" si="14"/>
        <v>0.22726998000000001</v>
      </c>
      <c r="N113" s="317">
        <f t="shared" si="13"/>
        <v>98.813034782608696</v>
      </c>
      <c r="O113" s="336">
        <f t="shared" si="13"/>
        <v>98.813034782608696</v>
      </c>
    </row>
    <row r="114" spans="1:15" hidden="1" x14ac:dyDescent="0.3">
      <c r="A114" s="335" t="s">
        <v>325</v>
      </c>
      <c r="B114" s="317">
        <v>49.7</v>
      </c>
      <c r="C114" s="317">
        <v>49.7</v>
      </c>
      <c r="D114" s="317">
        <v>35</v>
      </c>
      <c r="E114" s="317">
        <v>35</v>
      </c>
      <c r="F114" s="317">
        <v>18.722999999999999</v>
      </c>
      <c r="G114" s="317">
        <v>37.672032193158948</v>
      </c>
      <c r="H114" s="317">
        <v>53.494285714285716</v>
      </c>
      <c r="I114" s="317"/>
      <c r="J114" s="317"/>
      <c r="K114" s="317">
        <f t="shared" si="12"/>
        <v>4.9700000000000001E-2</v>
      </c>
      <c r="L114" s="317">
        <f t="shared" si="15"/>
        <v>3.5000000000000003E-2</v>
      </c>
      <c r="M114" s="317">
        <f t="shared" si="14"/>
        <v>1.8723E-2</v>
      </c>
      <c r="N114" s="317">
        <f t="shared" si="13"/>
        <v>37.672032193158948</v>
      </c>
      <c r="O114" s="336">
        <f t="shared" si="13"/>
        <v>53.494285714285716</v>
      </c>
    </row>
    <row r="115" spans="1:15" hidden="1" x14ac:dyDescent="0.3">
      <c r="A115" s="334" t="s">
        <v>30</v>
      </c>
      <c r="B115" s="314" t="s">
        <v>235</v>
      </c>
      <c r="C115" s="314" t="s">
        <v>235</v>
      </c>
      <c r="D115" s="314" t="s">
        <v>235</v>
      </c>
      <c r="E115" s="314" t="s">
        <v>235</v>
      </c>
      <c r="F115" s="314" t="s">
        <v>235</v>
      </c>
      <c r="G115" s="314"/>
      <c r="H115" s="314"/>
      <c r="I115" s="314"/>
      <c r="J115" s="314"/>
      <c r="K115" s="314" t="e">
        <f t="shared" si="12"/>
        <v>#VALUE!</v>
      </c>
      <c r="L115" s="314" t="e">
        <f t="shared" si="15"/>
        <v>#VALUE!</v>
      </c>
      <c r="M115" s="314" t="e">
        <f t="shared" si="14"/>
        <v>#VALUE!</v>
      </c>
      <c r="N115" s="314">
        <f t="shared" si="13"/>
        <v>0</v>
      </c>
      <c r="O115" s="329">
        <f t="shared" si="13"/>
        <v>0</v>
      </c>
    </row>
    <row r="116" spans="1:15" ht="26.4" hidden="1" x14ac:dyDescent="0.3">
      <c r="A116" s="328" t="s">
        <v>336</v>
      </c>
      <c r="B116" s="314">
        <v>15055</v>
      </c>
      <c r="C116" s="314">
        <v>15055</v>
      </c>
      <c r="D116" s="314">
        <v>7518.6</v>
      </c>
      <c r="E116" s="314">
        <v>7518.6</v>
      </c>
      <c r="F116" s="314">
        <v>6553.7260099999994</v>
      </c>
      <c r="G116" s="314">
        <v>43.531889804051801</v>
      </c>
      <c r="H116" s="314">
        <v>87.166839704200243</v>
      </c>
      <c r="I116" s="314"/>
      <c r="J116" s="314"/>
      <c r="K116" s="314">
        <f t="shared" si="12"/>
        <v>15.055</v>
      </c>
      <c r="L116" s="314">
        <f t="shared" si="15"/>
        <v>7.5186000000000002</v>
      </c>
      <c r="M116" s="314">
        <f t="shared" si="14"/>
        <v>6.5537260099999992</v>
      </c>
      <c r="N116" s="314">
        <f t="shared" si="13"/>
        <v>43.531889804051801</v>
      </c>
      <c r="O116" s="329">
        <f t="shared" si="13"/>
        <v>87.166839704200243</v>
      </c>
    </row>
    <row r="117" spans="1:15" ht="26.4" hidden="1" x14ac:dyDescent="0.3">
      <c r="A117" s="335" t="s">
        <v>314</v>
      </c>
      <c r="B117" s="317">
        <v>15055</v>
      </c>
      <c r="C117" s="317">
        <v>15055</v>
      </c>
      <c r="D117" s="317">
        <v>7518.6</v>
      </c>
      <c r="E117" s="317">
        <v>7518.6</v>
      </c>
      <c r="F117" s="317">
        <v>6553.7260099999994</v>
      </c>
      <c r="G117" s="317">
        <v>43.531889804051801</v>
      </c>
      <c r="H117" s="317">
        <v>87.166839704200243</v>
      </c>
      <c r="I117" s="317"/>
      <c r="J117" s="317"/>
      <c r="K117" s="317">
        <f t="shared" si="12"/>
        <v>15.055</v>
      </c>
      <c r="L117" s="317">
        <f t="shared" si="15"/>
        <v>7.5186000000000002</v>
      </c>
      <c r="M117" s="317">
        <f t="shared" si="14"/>
        <v>6.5537260099999992</v>
      </c>
      <c r="N117" s="317">
        <f t="shared" si="13"/>
        <v>43.531889804051801</v>
      </c>
      <c r="O117" s="336">
        <f t="shared" si="13"/>
        <v>87.166839704200243</v>
      </c>
    </row>
    <row r="118" spans="1:15" ht="52.8" hidden="1" x14ac:dyDescent="0.3">
      <c r="A118" s="335" t="s">
        <v>315</v>
      </c>
      <c r="B118" s="317">
        <v>14510.3</v>
      </c>
      <c r="C118" s="317">
        <v>14510.3</v>
      </c>
      <c r="D118" s="317">
        <v>7186.1</v>
      </c>
      <c r="E118" s="317">
        <v>7186.1</v>
      </c>
      <c r="F118" s="317">
        <v>6294.9224799999993</v>
      </c>
      <c r="G118" s="317">
        <v>43.382441989483326</v>
      </c>
      <c r="H118" s="317">
        <v>87.598592838952953</v>
      </c>
      <c r="I118" s="317"/>
      <c r="J118" s="317"/>
      <c r="K118" s="317">
        <f t="shared" si="12"/>
        <v>14.510299999999999</v>
      </c>
      <c r="L118" s="317">
        <f t="shared" si="15"/>
        <v>7.1861000000000006</v>
      </c>
      <c r="M118" s="317">
        <f t="shared" si="14"/>
        <v>6.2949224799999994</v>
      </c>
      <c r="N118" s="317">
        <f t="shared" si="13"/>
        <v>43.382441989483326</v>
      </c>
      <c r="O118" s="336">
        <f t="shared" si="13"/>
        <v>87.598592838952953</v>
      </c>
    </row>
    <row r="119" spans="1:15" ht="26.4" hidden="1" x14ac:dyDescent="0.3">
      <c r="A119" s="335" t="s">
        <v>316</v>
      </c>
      <c r="B119" s="317">
        <v>14510.3</v>
      </c>
      <c r="C119" s="317">
        <v>14510.3</v>
      </c>
      <c r="D119" s="317">
        <v>7186.1</v>
      </c>
      <c r="E119" s="317">
        <v>7186.1</v>
      </c>
      <c r="F119" s="317">
        <v>6294.9224799999993</v>
      </c>
      <c r="G119" s="317">
        <v>43.382441989483326</v>
      </c>
      <c r="H119" s="317">
        <v>87.598592838952953</v>
      </c>
      <c r="I119" s="317"/>
      <c r="J119" s="317"/>
      <c r="K119" s="317">
        <f t="shared" si="12"/>
        <v>14.510299999999999</v>
      </c>
      <c r="L119" s="317">
        <f t="shared" si="15"/>
        <v>7.1861000000000006</v>
      </c>
      <c r="M119" s="317">
        <f t="shared" si="14"/>
        <v>6.2949224799999994</v>
      </c>
      <c r="N119" s="317">
        <f t="shared" si="13"/>
        <v>43.382441989483326</v>
      </c>
      <c r="O119" s="336">
        <f t="shared" si="13"/>
        <v>87.598592838952953</v>
      </c>
    </row>
    <row r="120" spans="1:15" ht="26.4" hidden="1" x14ac:dyDescent="0.3">
      <c r="A120" s="335" t="s">
        <v>321</v>
      </c>
      <c r="B120" s="317">
        <v>543.70000000000005</v>
      </c>
      <c r="C120" s="317">
        <v>543.70000000000005</v>
      </c>
      <c r="D120" s="317">
        <v>332</v>
      </c>
      <c r="E120" s="317">
        <v>332</v>
      </c>
      <c r="F120" s="317">
        <v>258.62353000000002</v>
      </c>
      <c r="G120" s="317">
        <v>47.567322052602542</v>
      </c>
      <c r="H120" s="317">
        <v>77.898653614457842</v>
      </c>
      <c r="I120" s="317"/>
      <c r="J120" s="317"/>
      <c r="K120" s="317">
        <f t="shared" si="12"/>
        <v>0.54370000000000007</v>
      </c>
      <c r="L120" s="317">
        <f t="shared" si="15"/>
        <v>0.33200000000000002</v>
      </c>
      <c r="M120" s="317">
        <f t="shared" si="14"/>
        <v>0.25862352999999999</v>
      </c>
      <c r="N120" s="317">
        <f t="shared" si="13"/>
        <v>47.567322052602542</v>
      </c>
      <c r="O120" s="336">
        <f t="shared" si="13"/>
        <v>77.898653614457842</v>
      </c>
    </row>
    <row r="121" spans="1:15" ht="26.4" hidden="1" x14ac:dyDescent="0.3">
      <c r="A121" s="335" t="s">
        <v>322</v>
      </c>
      <c r="B121" s="317">
        <v>543.70000000000005</v>
      </c>
      <c r="C121" s="317">
        <v>543.70000000000005</v>
      </c>
      <c r="D121" s="317">
        <v>332</v>
      </c>
      <c r="E121" s="317">
        <v>332</v>
      </c>
      <c r="F121" s="317">
        <v>258.62353000000002</v>
      </c>
      <c r="G121" s="317">
        <v>47.567322052602542</v>
      </c>
      <c r="H121" s="317">
        <v>77.898653614457842</v>
      </c>
      <c r="I121" s="317"/>
      <c r="J121" s="317"/>
      <c r="K121" s="317">
        <f t="shared" si="12"/>
        <v>0.54370000000000007</v>
      </c>
      <c r="L121" s="317">
        <f t="shared" si="15"/>
        <v>0.33200000000000002</v>
      </c>
      <c r="M121" s="317">
        <f t="shared" si="14"/>
        <v>0.25862352999999999</v>
      </c>
      <c r="N121" s="317">
        <f t="shared" si="13"/>
        <v>47.567322052602542</v>
      </c>
      <c r="O121" s="336">
        <f t="shared" si="13"/>
        <v>77.898653614457842</v>
      </c>
    </row>
    <row r="122" spans="1:15" hidden="1" x14ac:dyDescent="0.3">
      <c r="A122" s="335" t="s">
        <v>323</v>
      </c>
      <c r="B122" s="317">
        <v>1</v>
      </c>
      <c r="C122" s="317">
        <v>1</v>
      </c>
      <c r="D122" s="317">
        <v>0.5</v>
      </c>
      <c r="E122" s="317">
        <v>0.5</v>
      </c>
      <c r="F122" s="317">
        <v>0.18</v>
      </c>
      <c r="G122" s="317">
        <v>18</v>
      </c>
      <c r="H122" s="317">
        <v>36</v>
      </c>
      <c r="I122" s="317"/>
      <c r="J122" s="317"/>
      <c r="K122" s="317">
        <f t="shared" si="12"/>
        <v>1E-3</v>
      </c>
      <c r="L122" s="317">
        <f t="shared" si="15"/>
        <v>5.0000000000000001E-4</v>
      </c>
      <c r="M122" s="317">
        <f t="shared" si="14"/>
        <v>1.7999999999999998E-4</v>
      </c>
      <c r="N122" s="317">
        <f t="shared" si="13"/>
        <v>18</v>
      </c>
      <c r="O122" s="336">
        <f t="shared" si="13"/>
        <v>36</v>
      </c>
    </row>
    <row r="123" spans="1:15" hidden="1" x14ac:dyDescent="0.3">
      <c r="A123" s="335" t="s">
        <v>325</v>
      </c>
      <c r="B123" s="317">
        <v>1</v>
      </c>
      <c r="C123" s="317">
        <v>1</v>
      </c>
      <c r="D123" s="317">
        <v>0.5</v>
      </c>
      <c r="E123" s="317">
        <v>0.5</v>
      </c>
      <c r="F123" s="317">
        <v>0.18</v>
      </c>
      <c r="G123" s="317">
        <v>18</v>
      </c>
      <c r="H123" s="317">
        <v>36</v>
      </c>
      <c r="I123" s="317"/>
      <c r="J123" s="317"/>
      <c r="K123" s="317">
        <f t="shared" si="12"/>
        <v>1E-3</v>
      </c>
      <c r="L123" s="317">
        <f t="shared" si="15"/>
        <v>5.0000000000000001E-4</v>
      </c>
      <c r="M123" s="317">
        <f t="shared" si="14"/>
        <v>1.7999999999999998E-4</v>
      </c>
      <c r="N123" s="317">
        <f t="shared" si="13"/>
        <v>18</v>
      </c>
      <c r="O123" s="336">
        <f t="shared" si="13"/>
        <v>36</v>
      </c>
    </row>
    <row r="124" spans="1:15" hidden="1" x14ac:dyDescent="0.3">
      <c r="A124" s="337" t="s">
        <v>30</v>
      </c>
      <c r="B124" s="317"/>
      <c r="C124" s="317"/>
      <c r="D124" s="317"/>
      <c r="E124" s="317"/>
      <c r="F124" s="317"/>
      <c r="G124" s="317"/>
      <c r="H124" s="317"/>
      <c r="I124" s="317"/>
      <c r="J124" s="317"/>
      <c r="K124" s="317">
        <f t="shared" si="12"/>
        <v>0</v>
      </c>
      <c r="L124" s="317">
        <f t="shared" si="15"/>
        <v>0</v>
      </c>
      <c r="M124" s="317">
        <f t="shared" si="14"/>
        <v>0</v>
      </c>
      <c r="N124" s="317">
        <f t="shared" si="13"/>
        <v>0</v>
      </c>
      <c r="O124" s="336">
        <f t="shared" si="13"/>
        <v>0</v>
      </c>
    </row>
    <row r="125" spans="1:15" ht="39.6" hidden="1" x14ac:dyDescent="0.3">
      <c r="A125" s="328" t="s">
        <v>337</v>
      </c>
      <c r="B125" s="314"/>
      <c r="C125" s="314">
        <v>6064.2743900000005</v>
      </c>
      <c r="D125" s="314">
        <v>6064.2743900000005</v>
      </c>
      <c r="E125" s="314">
        <v>6064.2743900000005</v>
      </c>
      <c r="F125" s="314">
        <v>6064.2743900000005</v>
      </c>
      <c r="G125" s="314">
        <v>100</v>
      </c>
      <c r="H125" s="314">
        <v>100</v>
      </c>
      <c r="I125" s="314"/>
      <c r="J125" s="314"/>
      <c r="K125" s="314">
        <f t="shared" si="12"/>
        <v>6.0642743900000005</v>
      </c>
      <c r="L125" s="314">
        <f t="shared" si="15"/>
        <v>6.0642743900000005</v>
      </c>
      <c r="M125" s="314">
        <f t="shared" si="14"/>
        <v>6.0642743900000005</v>
      </c>
      <c r="N125" s="314">
        <f t="shared" si="13"/>
        <v>100</v>
      </c>
      <c r="O125" s="329">
        <f t="shared" si="13"/>
        <v>100</v>
      </c>
    </row>
    <row r="126" spans="1:15" hidden="1" x14ac:dyDescent="0.3">
      <c r="A126" s="335" t="s">
        <v>338</v>
      </c>
      <c r="B126" s="317"/>
      <c r="C126" s="317">
        <v>3913.96254</v>
      </c>
      <c r="D126" s="317">
        <v>3913.96254</v>
      </c>
      <c r="E126" s="317">
        <v>3913.96254</v>
      </c>
      <c r="F126" s="317">
        <v>3913.96254</v>
      </c>
      <c r="G126" s="317">
        <v>100</v>
      </c>
      <c r="H126" s="317">
        <v>100</v>
      </c>
      <c r="I126" s="317"/>
      <c r="J126" s="317"/>
      <c r="K126" s="317">
        <f t="shared" si="12"/>
        <v>3.91396254</v>
      </c>
      <c r="L126" s="317">
        <f t="shared" si="15"/>
        <v>3.91396254</v>
      </c>
      <c r="M126" s="317">
        <f t="shared" si="14"/>
        <v>3.91396254</v>
      </c>
      <c r="N126" s="317">
        <f t="shared" si="13"/>
        <v>100</v>
      </c>
      <c r="O126" s="336">
        <f t="shared" si="13"/>
        <v>100</v>
      </c>
    </row>
    <row r="127" spans="1:15" ht="26.4" hidden="1" x14ac:dyDescent="0.3">
      <c r="A127" s="335" t="s">
        <v>339</v>
      </c>
      <c r="B127" s="317"/>
      <c r="C127" s="317">
        <v>3913.96254</v>
      </c>
      <c r="D127" s="317">
        <v>3913.96254</v>
      </c>
      <c r="E127" s="317">
        <v>3913.96254</v>
      </c>
      <c r="F127" s="317">
        <v>3913.96254</v>
      </c>
      <c r="G127" s="317">
        <v>100</v>
      </c>
      <c r="H127" s="317">
        <v>100</v>
      </c>
      <c r="I127" s="317"/>
      <c r="J127" s="317"/>
      <c r="K127" s="317">
        <f t="shared" si="12"/>
        <v>3.91396254</v>
      </c>
      <c r="L127" s="317">
        <f t="shared" si="15"/>
        <v>3.91396254</v>
      </c>
      <c r="M127" s="317">
        <f t="shared" si="14"/>
        <v>3.91396254</v>
      </c>
      <c r="N127" s="317">
        <f t="shared" si="13"/>
        <v>100</v>
      </c>
      <c r="O127" s="336">
        <f t="shared" si="13"/>
        <v>100</v>
      </c>
    </row>
    <row r="128" spans="1:15" ht="52.8" hidden="1" x14ac:dyDescent="0.3">
      <c r="A128" s="335" t="s">
        <v>315</v>
      </c>
      <c r="B128" s="317"/>
      <c r="C128" s="317">
        <v>3711.05132</v>
      </c>
      <c r="D128" s="317">
        <v>3711.05132</v>
      </c>
      <c r="E128" s="317">
        <v>3711.05132</v>
      </c>
      <c r="F128" s="317">
        <v>3711.05132</v>
      </c>
      <c r="G128" s="317">
        <v>100</v>
      </c>
      <c r="H128" s="317">
        <v>100</v>
      </c>
      <c r="I128" s="317"/>
      <c r="J128" s="317"/>
      <c r="K128" s="317">
        <f t="shared" si="12"/>
        <v>3.7110513200000002</v>
      </c>
      <c r="L128" s="317">
        <f t="shared" si="15"/>
        <v>3.7110513200000002</v>
      </c>
      <c r="M128" s="317">
        <f t="shared" si="14"/>
        <v>3.7110513200000002</v>
      </c>
      <c r="N128" s="317">
        <f t="shared" si="13"/>
        <v>100</v>
      </c>
      <c r="O128" s="336">
        <f t="shared" si="13"/>
        <v>100</v>
      </c>
    </row>
    <row r="129" spans="1:15" ht="26.4" hidden="1" x14ac:dyDescent="0.3">
      <c r="A129" s="335" t="s">
        <v>316</v>
      </c>
      <c r="B129" s="322"/>
      <c r="C129" s="317">
        <v>3711.05132</v>
      </c>
      <c r="D129" s="317">
        <v>3711.05132</v>
      </c>
      <c r="E129" s="317">
        <v>3711.05132</v>
      </c>
      <c r="F129" s="317">
        <v>3711.05132</v>
      </c>
      <c r="G129" s="317">
        <v>100</v>
      </c>
      <c r="H129" s="317">
        <v>100</v>
      </c>
      <c r="I129" s="317"/>
      <c r="J129" s="317"/>
      <c r="K129" s="317">
        <f t="shared" si="12"/>
        <v>3.7110513200000002</v>
      </c>
      <c r="L129" s="317">
        <f t="shared" si="15"/>
        <v>3.7110513200000002</v>
      </c>
      <c r="M129" s="317">
        <f t="shared" si="14"/>
        <v>3.7110513200000002</v>
      </c>
      <c r="N129" s="317">
        <f t="shared" si="13"/>
        <v>100</v>
      </c>
      <c r="O129" s="336">
        <f t="shared" si="13"/>
        <v>100</v>
      </c>
    </row>
    <row r="130" spans="1:15" ht="26.4" hidden="1" x14ac:dyDescent="0.3">
      <c r="A130" s="335" t="s">
        <v>321</v>
      </c>
      <c r="B130" s="322"/>
      <c r="C130" s="317">
        <v>202.91121999999999</v>
      </c>
      <c r="D130" s="317">
        <v>202.91121999999999</v>
      </c>
      <c r="E130" s="317">
        <v>202.91121999999999</v>
      </c>
      <c r="F130" s="317">
        <v>202.91121999999999</v>
      </c>
      <c r="G130" s="317">
        <v>100</v>
      </c>
      <c r="H130" s="317">
        <v>100</v>
      </c>
      <c r="I130" s="317"/>
      <c r="J130" s="317"/>
      <c r="K130" s="317">
        <f t="shared" si="12"/>
        <v>0.20291121999999998</v>
      </c>
      <c r="L130" s="317">
        <f t="shared" si="15"/>
        <v>0.20291121999999998</v>
      </c>
      <c r="M130" s="317">
        <f t="shared" si="14"/>
        <v>0.20291121999999998</v>
      </c>
      <c r="N130" s="317">
        <f t="shared" si="13"/>
        <v>100</v>
      </c>
      <c r="O130" s="336">
        <f t="shared" si="13"/>
        <v>100</v>
      </c>
    </row>
    <row r="131" spans="1:15" ht="26.4" hidden="1" x14ac:dyDescent="0.3">
      <c r="A131" s="335" t="s">
        <v>322</v>
      </c>
      <c r="B131" s="322"/>
      <c r="C131" s="317">
        <v>202.91121999999999</v>
      </c>
      <c r="D131" s="317">
        <v>202.91121999999999</v>
      </c>
      <c r="E131" s="317">
        <v>202.91121999999999</v>
      </c>
      <c r="F131" s="317">
        <v>202.91121999999999</v>
      </c>
      <c r="G131" s="317">
        <v>100</v>
      </c>
      <c r="H131" s="317">
        <v>100</v>
      </c>
      <c r="I131" s="317"/>
      <c r="J131" s="317"/>
      <c r="K131" s="317">
        <f t="shared" si="12"/>
        <v>0.20291121999999998</v>
      </c>
      <c r="L131" s="317">
        <f t="shared" si="15"/>
        <v>0.20291121999999998</v>
      </c>
      <c r="M131" s="317">
        <f t="shared" si="14"/>
        <v>0.20291121999999998</v>
      </c>
      <c r="N131" s="317">
        <f t="shared" si="13"/>
        <v>100</v>
      </c>
      <c r="O131" s="336">
        <f t="shared" si="13"/>
        <v>100</v>
      </c>
    </row>
    <row r="132" spans="1:15" ht="26.4" hidden="1" x14ac:dyDescent="0.3">
      <c r="A132" s="335" t="s">
        <v>340</v>
      </c>
      <c r="B132" s="322"/>
      <c r="C132" s="317">
        <v>2150.31185</v>
      </c>
      <c r="D132" s="317">
        <v>2150.31185</v>
      </c>
      <c r="E132" s="317">
        <v>2150.31185</v>
      </c>
      <c r="F132" s="317">
        <v>2150.31185</v>
      </c>
      <c r="G132" s="317">
        <v>100</v>
      </c>
      <c r="H132" s="317">
        <v>100</v>
      </c>
      <c r="I132" s="317"/>
      <c r="J132" s="317"/>
      <c r="K132" s="317">
        <f t="shared" si="12"/>
        <v>2.15031185</v>
      </c>
      <c r="L132" s="317">
        <f t="shared" si="15"/>
        <v>2.15031185</v>
      </c>
      <c r="M132" s="317">
        <f t="shared" si="14"/>
        <v>2.15031185</v>
      </c>
      <c r="N132" s="317">
        <f t="shared" si="13"/>
        <v>100</v>
      </c>
      <c r="O132" s="336">
        <f t="shared" si="13"/>
        <v>100</v>
      </c>
    </row>
    <row r="133" spans="1:15" ht="26.4" hidden="1" x14ac:dyDescent="0.3">
      <c r="A133" s="335" t="s">
        <v>341</v>
      </c>
      <c r="B133" s="322"/>
      <c r="C133" s="317">
        <v>2150.31185</v>
      </c>
      <c r="D133" s="317">
        <v>2150.31185</v>
      </c>
      <c r="E133" s="317">
        <v>2150.31185</v>
      </c>
      <c r="F133" s="317">
        <v>2150.31185</v>
      </c>
      <c r="G133" s="317">
        <v>100</v>
      </c>
      <c r="H133" s="317">
        <v>100</v>
      </c>
      <c r="I133" s="317"/>
      <c r="J133" s="317"/>
      <c r="K133" s="317">
        <f t="shared" si="12"/>
        <v>2.15031185</v>
      </c>
      <c r="L133" s="317">
        <f t="shared" si="15"/>
        <v>2.15031185</v>
      </c>
      <c r="M133" s="317">
        <f t="shared" si="14"/>
        <v>2.15031185</v>
      </c>
      <c r="N133" s="317">
        <f t="shared" si="13"/>
        <v>100</v>
      </c>
      <c r="O133" s="336">
        <f t="shared" si="13"/>
        <v>100</v>
      </c>
    </row>
    <row r="134" spans="1:15" ht="52.8" hidden="1" x14ac:dyDescent="0.3">
      <c r="A134" s="335" t="s">
        <v>315</v>
      </c>
      <c r="B134" s="322"/>
      <c r="C134" s="317">
        <v>2023.7308700000001</v>
      </c>
      <c r="D134" s="317">
        <v>2023.7308700000001</v>
      </c>
      <c r="E134" s="317">
        <v>2023.7308700000001</v>
      </c>
      <c r="F134" s="317">
        <v>2023.7308700000001</v>
      </c>
      <c r="G134" s="317">
        <v>100</v>
      </c>
      <c r="H134" s="317">
        <v>100</v>
      </c>
      <c r="I134" s="317"/>
      <c r="J134" s="317"/>
      <c r="K134" s="317">
        <f t="shared" si="12"/>
        <v>2.0237308700000001</v>
      </c>
      <c r="L134" s="317">
        <f t="shared" si="15"/>
        <v>2.0237308700000001</v>
      </c>
      <c r="M134" s="317">
        <f t="shared" si="14"/>
        <v>2.0237308700000001</v>
      </c>
      <c r="N134" s="317">
        <f t="shared" si="13"/>
        <v>100</v>
      </c>
      <c r="O134" s="336">
        <f t="shared" si="13"/>
        <v>100</v>
      </c>
    </row>
    <row r="135" spans="1:15" ht="26.4" hidden="1" x14ac:dyDescent="0.3">
      <c r="A135" s="335" t="s">
        <v>316</v>
      </c>
      <c r="B135" s="322"/>
      <c r="C135" s="317">
        <v>2023.7308700000001</v>
      </c>
      <c r="D135" s="317">
        <v>2023.7308700000001</v>
      </c>
      <c r="E135" s="317">
        <v>2023.7308700000001</v>
      </c>
      <c r="F135" s="317">
        <v>2023.7308700000001</v>
      </c>
      <c r="G135" s="317">
        <v>100</v>
      </c>
      <c r="H135" s="317">
        <v>100</v>
      </c>
      <c r="I135" s="317"/>
      <c r="J135" s="317"/>
      <c r="K135" s="317">
        <f t="shared" si="12"/>
        <v>2.0237308700000001</v>
      </c>
      <c r="L135" s="317">
        <f t="shared" si="15"/>
        <v>2.0237308700000001</v>
      </c>
      <c r="M135" s="317">
        <f t="shared" si="14"/>
        <v>2.0237308700000001</v>
      </c>
      <c r="N135" s="317">
        <f t="shared" si="13"/>
        <v>100</v>
      </c>
      <c r="O135" s="336">
        <f t="shared" si="13"/>
        <v>100</v>
      </c>
    </row>
    <row r="136" spans="1:15" ht="26.4" hidden="1" x14ac:dyDescent="0.3">
      <c r="A136" s="335" t="s">
        <v>321</v>
      </c>
      <c r="B136" s="322"/>
      <c r="C136" s="317">
        <v>126.58098</v>
      </c>
      <c r="D136" s="317">
        <v>126.58098</v>
      </c>
      <c r="E136" s="317">
        <v>126.58098</v>
      </c>
      <c r="F136" s="317">
        <v>126.58098</v>
      </c>
      <c r="G136" s="317">
        <v>100</v>
      </c>
      <c r="H136" s="317">
        <v>100</v>
      </c>
      <c r="I136" s="317"/>
      <c r="J136" s="317"/>
      <c r="K136" s="317">
        <f t="shared" si="12"/>
        <v>0.12658098000000001</v>
      </c>
      <c r="L136" s="317">
        <f t="shared" ref="L136:L167" si="16">+D136/1000</f>
        <v>0.12658098000000001</v>
      </c>
      <c r="M136" s="317">
        <f t="shared" si="14"/>
        <v>0.12658098000000001</v>
      </c>
      <c r="N136" s="317">
        <f t="shared" si="13"/>
        <v>100</v>
      </c>
      <c r="O136" s="336">
        <f t="shared" si="13"/>
        <v>100</v>
      </c>
    </row>
    <row r="137" spans="1:15" ht="26.4" hidden="1" x14ac:dyDescent="0.3">
      <c r="A137" s="335" t="s">
        <v>322</v>
      </c>
      <c r="B137" s="317"/>
      <c r="C137" s="317">
        <v>126.58098</v>
      </c>
      <c r="D137" s="317">
        <v>126.58098</v>
      </c>
      <c r="E137" s="317">
        <v>126.58098</v>
      </c>
      <c r="F137" s="317">
        <v>126.58098</v>
      </c>
      <c r="G137" s="317">
        <v>100</v>
      </c>
      <c r="H137" s="317">
        <v>100</v>
      </c>
      <c r="I137" s="317"/>
      <c r="J137" s="317"/>
      <c r="K137" s="317">
        <f t="shared" si="12"/>
        <v>0.12658098000000001</v>
      </c>
      <c r="L137" s="317">
        <f t="shared" si="16"/>
        <v>0.12658098000000001</v>
      </c>
      <c r="M137" s="317">
        <f t="shared" si="14"/>
        <v>0.12658098000000001</v>
      </c>
      <c r="N137" s="317">
        <f t="shared" si="13"/>
        <v>100</v>
      </c>
      <c r="O137" s="336">
        <f t="shared" si="13"/>
        <v>100</v>
      </c>
    </row>
    <row r="138" spans="1:15" hidden="1" x14ac:dyDescent="0.3">
      <c r="A138" s="337" t="s">
        <v>30</v>
      </c>
      <c r="B138" s="317"/>
      <c r="C138" s="317"/>
      <c r="D138" s="317"/>
      <c r="E138" s="317"/>
      <c r="F138" s="317"/>
      <c r="G138" s="317"/>
      <c r="H138" s="317"/>
      <c r="I138" s="317"/>
      <c r="J138" s="317"/>
      <c r="K138" s="317">
        <f t="shared" ref="K138:K185" si="17">+C138/1000</f>
        <v>0</v>
      </c>
      <c r="L138" s="317">
        <f t="shared" si="16"/>
        <v>0</v>
      </c>
      <c r="M138" s="317">
        <f t="shared" si="14"/>
        <v>0</v>
      </c>
      <c r="N138" s="317">
        <f t="shared" ref="N138:O185" si="18">+G138</f>
        <v>0</v>
      </c>
      <c r="O138" s="336">
        <f t="shared" si="18"/>
        <v>0</v>
      </c>
    </row>
    <row r="139" spans="1:15" hidden="1" x14ac:dyDescent="0.3">
      <c r="A139" s="328" t="s">
        <v>342</v>
      </c>
      <c r="B139" s="314">
        <v>216714.8</v>
      </c>
      <c r="C139" s="314">
        <v>216714.80000000005</v>
      </c>
      <c r="D139" s="314">
        <v>95613.079179999986</v>
      </c>
      <c r="E139" s="314">
        <v>95613.079709999991</v>
      </c>
      <c r="F139" s="314">
        <v>73691.79475999999</v>
      </c>
      <c r="G139" s="314">
        <v>34.004043452500696</v>
      </c>
      <c r="H139" s="314">
        <v>77.072922859506221</v>
      </c>
      <c r="I139" s="314"/>
      <c r="J139" s="314"/>
      <c r="K139" s="314">
        <f t="shared" si="17"/>
        <v>216.71480000000005</v>
      </c>
      <c r="L139" s="314">
        <f t="shared" si="16"/>
        <v>95.613079179999986</v>
      </c>
      <c r="M139" s="314">
        <f t="shared" ref="M139:M185" si="19">+F139/1000</f>
        <v>73.691794759999993</v>
      </c>
      <c r="N139" s="314">
        <f t="shared" si="18"/>
        <v>34.004043452500696</v>
      </c>
      <c r="O139" s="329">
        <f t="shared" si="18"/>
        <v>77.072922859506221</v>
      </c>
    </row>
    <row r="140" spans="1:15" hidden="1" x14ac:dyDescent="0.3">
      <c r="A140" s="335" t="s">
        <v>342</v>
      </c>
      <c r="B140" s="317">
        <v>216714.8</v>
      </c>
      <c r="C140" s="317">
        <v>216714.80000000005</v>
      </c>
      <c r="D140" s="317">
        <v>95613.079179999986</v>
      </c>
      <c r="E140" s="317">
        <v>95613.079709999991</v>
      </c>
      <c r="F140" s="317">
        <v>73691.79475999999</v>
      </c>
      <c r="G140" s="317">
        <v>34.004043452500696</v>
      </c>
      <c r="H140" s="317">
        <v>77.072922859506221</v>
      </c>
      <c r="I140" s="317"/>
      <c r="J140" s="317"/>
      <c r="K140" s="317">
        <f t="shared" si="17"/>
        <v>216.71480000000005</v>
      </c>
      <c r="L140" s="317">
        <f t="shared" si="16"/>
        <v>95.613079179999986</v>
      </c>
      <c r="M140" s="317">
        <f t="shared" si="19"/>
        <v>73.691794759999993</v>
      </c>
      <c r="N140" s="317">
        <f t="shared" si="18"/>
        <v>34.004043452500696</v>
      </c>
      <c r="O140" s="336">
        <f t="shared" si="18"/>
        <v>77.072922859506221</v>
      </c>
    </row>
    <row r="141" spans="1:15" ht="52.8" hidden="1" x14ac:dyDescent="0.3">
      <c r="A141" s="335" t="s">
        <v>315</v>
      </c>
      <c r="B141" s="317"/>
      <c r="C141" s="317">
        <v>159.5</v>
      </c>
      <c r="D141" s="317">
        <v>159.5</v>
      </c>
      <c r="E141" s="317">
        <v>159.5</v>
      </c>
      <c r="F141" s="317">
        <v>159.5</v>
      </c>
      <c r="G141" s="317">
        <v>100</v>
      </c>
      <c r="H141" s="317">
        <v>100</v>
      </c>
      <c r="I141" s="317"/>
      <c r="J141" s="317"/>
      <c r="K141" s="317">
        <f t="shared" si="17"/>
        <v>0.1595</v>
      </c>
      <c r="L141" s="317">
        <f t="shared" si="16"/>
        <v>0.1595</v>
      </c>
      <c r="M141" s="317">
        <f t="shared" si="19"/>
        <v>0.1595</v>
      </c>
      <c r="N141" s="317">
        <f t="shared" si="18"/>
        <v>100</v>
      </c>
      <c r="O141" s="336">
        <f t="shared" si="18"/>
        <v>100</v>
      </c>
    </row>
    <row r="142" spans="1:15" hidden="1" x14ac:dyDescent="0.3">
      <c r="A142" s="335" t="s">
        <v>343</v>
      </c>
      <c r="B142" s="317"/>
      <c r="C142" s="317">
        <v>51.524999999999999</v>
      </c>
      <c r="D142" s="317">
        <v>51.524999999999999</v>
      </c>
      <c r="E142" s="317">
        <v>51.524999999999999</v>
      </c>
      <c r="F142" s="317">
        <v>51.524999999999999</v>
      </c>
      <c r="G142" s="317">
        <v>100</v>
      </c>
      <c r="H142" s="317">
        <v>100</v>
      </c>
      <c r="I142" s="317"/>
      <c r="J142" s="317"/>
      <c r="K142" s="317">
        <f t="shared" si="17"/>
        <v>5.1525000000000001E-2</v>
      </c>
      <c r="L142" s="317">
        <f t="shared" si="16"/>
        <v>5.1525000000000001E-2</v>
      </c>
      <c r="M142" s="317">
        <f t="shared" si="19"/>
        <v>5.1525000000000001E-2</v>
      </c>
      <c r="N142" s="317">
        <f t="shared" si="18"/>
        <v>100</v>
      </c>
      <c r="O142" s="336">
        <f t="shared" si="18"/>
        <v>100</v>
      </c>
    </row>
    <row r="143" spans="1:15" ht="26.4" hidden="1" x14ac:dyDescent="0.3">
      <c r="A143" s="335" t="s">
        <v>316</v>
      </c>
      <c r="B143" s="317"/>
      <c r="C143" s="317">
        <v>107.97499999999999</v>
      </c>
      <c r="D143" s="317">
        <v>107.97499999999999</v>
      </c>
      <c r="E143" s="317">
        <v>107.97499999999999</v>
      </c>
      <c r="F143" s="317">
        <v>107.97499999999999</v>
      </c>
      <c r="G143" s="317">
        <v>100</v>
      </c>
      <c r="H143" s="317">
        <v>100</v>
      </c>
      <c r="I143" s="317"/>
      <c r="J143" s="317"/>
      <c r="K143" s="317">
        <f t="shared" si="17"/>
        <v>0.10797499999999999</v>
      </c>
      <c r="L143" s="317">
        <f t="shared" si="16"/>
        <v>0.10797499999999999</v>
      </c>
      <c r="M143" s="317">
        <f t="shared" si="19"/>
        <v>0.10797499999999999</v>
      </c>
      <c r="N143" s="317">
        <f t="shared" si="18"/>
        <v>100</v>
      </c>
      <c r="O143" s="336">
        <f t="shared" si="18"/>
        <v>100</v>
      </c>
    </row>
    <row r="144" spans="1:15" ht="26.4" hidden="1" x14ac:dyDescent="0.3">
      <c r="A144" s="335" t="s">
        <v>321</v>
      </c>
      <c r="B144" s="317"/>
      <c r="C144" s="317">
        <v>19485.54912</v>
      </c>
      <c r="D144" s="317">
        <v>14810.069069999998</v>
      </c>
      <c r="E144" s="317">
        <v>14810.069069999998</v>
      </c>
      <c r="F144" s="317">
        <v>3389.5679399999999</v>
      </c>
      <c r="G144" s="317">
        <v>17.395290833866937</v>
      </c>
      <c r="H144" s="317">
        <v>22.886915138472077</v>
      </c>
      <c r="I144" s="317"/>
      <c r="J144" s="317"/>
      <c r="K144" s="317">
        <f t="shared" si="17"/>
        <v>19.485549119999998</v>
      </c>
      <c r="L144" s="317">
        <f t="shared" si="16"/>
        <v>14.810069069999997</v>
      </c>
      <c r="M144" s="317">
        <f t="shared" si="19"/>
        <v>3.3895679400000001</v>
      </c>
      <c r="N144" s="317">
        <f t="shared" si="18"/>
        <v>17.395290833866937</v>
      </c>
      <c r="O144" s="336">
        <f t="shared" si="18"/>
        <v>22.886915138472077</v>
      </c>
    </row>
    <row r="145" spans="1:15" ht="26.4" hidden="1" x14ac:dyDescent="0.3">
      <c r="A145" s="335" t="s">
        <v>322</v>
      </c>
      <c r="B145" s="317"/>
      <c r="C145" s="317">
        <v>19485.54912</v>
      </c>
      <c r="D145" s="317">
        <v>14810.069069999998</v>
      </c>
      <c r="E145" s="317">
        <v>14810.069069999998</v>
      </c>
      <c r="F145" s="317">
        <v>3389.5679399999999</v>
      </c>
      <c r="G145" s="317">
        <v>17.395290833866937</v>
      </c>
      <c r="H145" s="317">
        <v>22.886915138472077</v>
      </c>
      <c r="I145" s="317"/>
      <c r="J145" s="317"/>
      <c r="K145" s="317">
        <f t="shared" si="17"/>
        <v>19.485549119999998</v>
      </c>
      <c r="L145" s="317">
        <f t="shared" si="16"/>
        <v>14.810069069999997</v>
      </c>
      <c r="M145" s="317">
        <f t="shared" si="19"/>
        <v>3.3895679400000001</v>
      </c>
      <c r="N145" s="317">
        <f t="shared" si="18"/>
        <v>17.395290833866937</v>
      </c>
      <c r="O145" s="336">
        <f t="shared" si="18"/>
        <v>22.886915138472077</v>
      </c>
    </row>
    <row r="146" spans="1:15" hidden="1" x14ac:dyDescent="0.3">
      <c r="A146" s="335" t="s">
        <v>344</v>
      </c>
      <c r="B146" s="317"/>
      <c r="C146" s="317">
        <v>2083.4879999999998</v>
      </c>
      <c r="D146" s="317">
        <v>2083.4879999999998</v>
      </c>
      <c r="E146" s="317">
        <v>2083.4879999999998</v>
      </c>
      <c r="F146" s="317">
        <v>1873.4880000000001</v>
      </c>
      <c r="G146" s="317">
        <v>89.920748283647427</v>
      </c>
      <c r="H146" s="317">
        <v>89.920748283647427</v>
      </c>
      <c r="I146" s="317"/>
      <c r="J146" s="317"/>
      <c r="K146" s="317">
        <f t="shared" si="17"/>
        <v>2.083488</v>
      </c>
      <c r="L146" s="317">
        <f t="shared" si="16"/>
        <v>2.083488</v>
      </c>
      <c r="M146" s="317">
        <f t="shared" si="19"/>
        <v>1.873488</v>
      </c>
      <c r="N146" s="317">
        <f t="shared" si="18"/>
        <v>89.920748283647427</v>
      </c>
      <c r="O146" s="336">
        <f t="shared" si="18"/>
        <v>89.920748283647427</v>
      </c>
    </row>
    <row r="147" spans="1:15" ht="26.4" hidden="1" x14ac:dyDescent="0.3">
      <c r="A147" s="335" t="s">
        <v>345</v>
      </c>
      <c r="B147" s="317"/>
      <c r="C147" s="317">
        <v>83.488</v>
      </c>
      <c r="D147" s="317">
        <v>83.488</v>
      </c>
      <c r="E147" s="317">
        <v>83.488</v>
      </c>
      <c r="F147" s="317">
        <v>83.488</v>
      </c>
      <c r="G147" s="317"/>
      <c r="H147" s="317"/>
      <c r="I147" s="317"/>
      <c r="J147" s="317"/>
      <c r="K147" s="317">
        <f t="shared" si="17"/>
        <v>8.3487999999999993E-2</v>
      </c>
      <c r="L147" s="317">
        <f t="shared" si="16"/>
        <v>8.3487999999999993E-2</v>
      </c>
      <c r="M147" s="317">
        <f t="shared" si="19"/>
        <v>8.3487999999999993E-2</v>
      </c>
      <c r="N147" s="317">
        <f t="shared" si="18"/>
        <v>0</v>
      </c>
      <c r="O147" s="336">
        <f t="shared" si="18"/>
        <v>0</v>
      </c>
    </row>
    <row r="148" spans="1:15" hidden="1" x14ac:dyDescent="0.3">
      <c r="A148" s="330" t="s">
        <v>346</v>
      </c>
      <c r="B148" s="317"/>
      <c r="C148" s="317">
        <v>2000</v>
      </c>
      <c r="D148" s="317">
        <v>2000</v>
      </c>
      <c r="E148" s="317">
        <v>2000</v>
      </c>
      <c r="F148" s="317">
        <v>1790</v>
      </c>
      <c r="G148" s="317">
        <v>89.5</v>
      </c>
      <c r="H148" s="317">
        <v>89.5</v>
      </c>
      <c r="I148" s="317"/>
      <c r="J148" s="317"/>
      <c r="K148" s="317">
        <f t="shared" si="17"/>
        <v>2</v>
      </c>
      <c r="L148" s="317">
        <f t="shared" si="16"/>
        <v>2</v>
      </c>
      <c r="M148" s="317">
        <f t="shared" si="19"/>
        <v>1.79</v>
      </c>
      <c r="N148" s="317">
        <f t="shared" si="18"/>
        <v>89.5</v>
      </c>
      <c r="O148" s="336">
        <f t="shared" si="18"/>
        <v>89.5</v>
      </c>
    </row>
    <row r="149" spans="1:15" hidden="1" x14ac:dyDescent="0.3">
      <c r="A149" s="335" t="s">
        <v>327</v>
      </c>
      <c r="B149" s="317"/>
      <c r="C149" s="317">
        <v>32225.963370000001</v>
      </c>
      <c r="D149" s="317">
        <v>32225.963370000001</v>
      </c>
      <c r="E149" s="317">
        <v>32225.963900000006</v>
      </c>
      <c r="F149" s="317">
        <v>28215.278150000002</v>
      </c>
      <c r="G149" s="317">
        <v>87.554490849655551</v>
      </c>
      <c r="H149" s="317">
        <v>87.554490849655551</v>
      </c>
      <c r="I149" s="317"/>
      <c r="J149" s="317"/>
      <c r="K149" s="317">
        <f t="shared" si="17"/>
        <v>32.225963370000002</v>
      </c>
      <c r="L149" s="317">
        <f t="shared" si="16"/>
        <v>32.225963370000002</v>
      </c>
      <c r="M149" s="317">
        <f t="shared" si="19"/>
        <v>28.215278150000003</v>
      </c>
      <c r="N149" s="317">
        <f t="shared" si="18"/>
        <v>87.554490849655551</v>
      </c>
      <c r="O149" s="336">
        <f t="shared" si="18"/>
        <v>87.554490849655551</v>
      </c>
    </row>
    <row r="150" spans="1:15" hidden="1" x14ac:dyDescent="0.3">
      <c r="A150" s="335" t="s">
        <v>263</v>
      </c>
      <c r="B150" s="317"/>
      <c r="C150" s="317">
        <v>32225.963370000001</v>
      </c>
      <c r="D150" s="317">
        <v>32225.963370000001</v>
      </c>
      <c r="E150" s="317">
        <v>32225.963900000006</v>
      </c>
      <c r="F150" s="317">
        <v>28215.278150000002</v>
      </c>
      <c r="G150" s="317">
        <v>87.554490849655551</v>
      </c>
      <c r="H150" s="317">
        <v>87.554490849655551</v>
      </c>
      <c r="I150" s="317"/>
      <c r="J150" s="317"/>
      <c r="K150" s="317">
        <f t="shared" si="17"/>
        <v>32.225963370000002</v>
      </c>
      <c r="L150" s="317">
        <f t="shared" si="16"/>
        <v>32.225963370000002</v>
      </c>
      <c r="M150" s="317">
        <f t="shared" si="19"/>
        <v>28.215278150000003</v>
      </c>
      <c r="N150" s="317">
        <f t="shared" si="18"/>
        <v>87.554490849655551</v>
      </c>
      <c r="O150" s="336">
        <f t="shared" si="18"/>
        <v>87.554490849655551</v>
      </c>
    </row>
    <row r="151" spans="1:15" ht="26.4" hidden="1" x14ac:dyDescent="0.3">
      <c r="A151" s="335" t="s">
        <v>347</v>
      </c>
      <c r="B151" s="317"/>
      <c r="C151" s="317">
        <v>46334.058739999993</v>
      </c>
      <c r="D151" s="317">
        <v>46334.058739999993</v>
      </c>
      <c r="E151" s="317">
        <v>46334.058739999993</v>
      </c>
      <c r="F151" s="317">
        <v>40053.960669999993</v>
      </c>
      <c r="G151" s="317">
        <v>86.44604370784721</v>
      </c>
      <c r="H151" s="317">
        <v>86.44604370784721</v>
      </c>
      <c r="I151" s="317"/>
      <c r="J151" s="317"/>
      <c r="K151" s="317">
        <f t="shared" si="17"/>
        <v>46.334058739999996</v>
      </c>
      <c r="L151" s="317">
        <f t="shared" si="16"/>
        <v>46.334058739999996</v>
      </c>
      <c r="M151" s="317">
        <f t="shared" si="19"/>
        <v>40.053960669999995</v>
      </c>
      <c r="N151" s="317">
        <f t="shared" si="18"/>
        <v>86.44604370784721</v>
      </c>
      <c r="O151" s="336">
        <f t="shared" si="18"/>
        <v>86.44604370784721</v>
      </c>
    </row>
    <row r="152" spans="1:15" hidden="1" x14ac:dyDescent="0.3">
      <c r="A152" s="335" t="s">
        <v>348</v>
      </c>
      <c r="B152" s="317"/>
      <c r="C152" s="317">
        <v>38686.900669999995</v>
      </c>
      <c r="D152" s="317">
        <v>38686.900669999995</v>
      </c>
      <c r="E152" s="317">
        <v>38686.900669999995</v>
      </c>
      <c r="F152" s="317">
        <v>38686.900669999995</v>
      </c>
      <c r="G152" s="317">
        <v>100</v>
      </c>
      <c r="H152" s="317">
        <v>100</v>
      </c>
      <c r="I152" s="317"/>
      <c r="J152" s="317"/>
      <c r="K152" s="317">
        <f t="shared" si="17"/>
        <v>38.686900669999993</v>
      </c>
      <c r="L152" s="317">
        <f t="shared" si="16"/>
        <v>38.686900669999993</v>
      </c>
      <c r="M152" s="317">
        <f t="shared" si="19"/>
        <v>38.686900669999993</v>
      </c>
      <c r="N152" s="317">
        <f t="shared" si="18"/>
        <v>100</v>
      </c>
      <c r="O152" s="336">
        <f t="shared" si="18"/>
        <v>100</v>
      </c>
    </row>
    <row r="153" spans="1:15" hidden="1" x14ac:dyDescent="0.3">
      <c r="A153" s="335" t="s">
        <v>349</v>
      </c>
      <c r="B153" s="317"/>
      <c r="C153" s="317">
        <v>4383.09807</v>
      </c>
      <c r="D153" s="317">
        <v>4383.09807</v>
      </c>
      <c r="E153" s="317">
        <v>4383.09807</v>
      </c>
      <c r="F153" s="317">
        <v>1203</v>
      </c>
      <c r="G153" s="317"/>
      <c r="H153" s="317"/>
      <c r="I153" s="317"/>
      <c r="J153" s="317"/>
      <c r="K153" s="317">
        <f t="shared" si="17"/>
        <v>4.38309807</v>
      </c>
      <c r="L153" s="317">
        <f t="shared" si="16"/>
        <v>4.38309807</v>
      </c>
      <c r="M153" s="317">
        <f t="shared" si="19"/>
        <v>1.2030000000000001</v>
      </c>
      <c r="N153" s="317">
        <f t="shared" si="18"/>
        <v>0</v>
      </c>
      <c r="O153" s="336">
        <f t="shared" si="18"/>
        <v>0</v>
      </c>
    </row>
    <row r="154" spans="1:15" ht="26.4" hidden="1" x14ac:dyDescent="0.3">
      <c r="A154" s="335" t="s">
        <v>350</v>
      </c>
      <c r="B154" s="317"/>
      <c r="C154" s="317">
        <v>3264.0600000000004</v>
      </c>
      <c r="D154" s="317">
        <v>3264.0600000000004</v>
      </c>
      <c r="E154" s="317">
        <v>3264.0600000000004</v>
      </c>
      <c r="F154" s="317">
        <v>164.06</v>
      </c>
      <c r="G154" s="317">
        <v>5.0262556448104503</v>
      </c>
      <c r="H154" s="317">
        <v>5.0262556448104503</v>
      </c>
      <c r="I154" s="317"/>
      <c r="J154" s="317"/>
      <c r="K154" s="317">
        <f t="shared" si="17"/>
        <v>3.2640600000000002</v>
      </c>
      <c r="L154" s="317">
        <f t="shared" si="16"/>
        <v>3.2640600000000002</v>
      </c>
      <c r="M154" s="317">
        <f t="shared" si="19"/>
        <v>0.16406000000000001</v>
      </c>
      <c r="N154" s="317">
        <f t="shared" si="18"/>
        <v>5.0262556448104503</v>
      </c>
      <c r="O154" s="336">
        <f t="shared" si="18"/>
        <v>5.0262556448104503</v>
      </c>
    </row>
    <row r="155" spans="1:15" hidden="1" x14ac:dyDescent="0.3">
      <c r="A155" s="335" t="s">
        <v>323</v>
      </c>
      <c r="B155" s="317">
        <v>216714.8</v>
      </c>
      <c r="C155" s="317">
        <v>116426.24077</v>
      </c>
      <c r="D155" s="317">
        <v>0</v>
      </c>
      <c r="E155" s="317">
        <v>0</v>
      </c>
      <c r="F155" s="317">
        <v>0</v>
      </c>
      <c r="G155" s="317">
        <v>0</v>
      </c>
      <c r="H155" s="317">
        <v>0</v>
      </c>
      <c r="I155" s="317"/>
      <c r="J155" s="317"/>
      <c r="K155" s="317">
        <f t="shared" si="17"/>
        <v>116.42624077000001</v>
      </c>
      <c r="L155" s="317">
        <f t="shared" si="16"/>
        <v>0</v>
      </c>
      <c r="M155" s="317">
        <f t="shared" si="19"/>
        <v>0</v>
      </c>
      <c r="N155" s="317">
        <f t="shared" si="18"/>
        <v>0</v>
      </c>
      <c r="O155" s="336">
        <f t="shared" si="18"/>
        <v>0</v>
      </c>
    </row>
    <row r="156" spans="1:15" hidden="1" x14ac:dyDescent="0.3">
      <c r="A156" s="335" t="s">
        <v>351</v>
      </c>
      <c r="B156" s="317">
        <v>216714.8</v>
      </c>
      <c r="C156" s="317">
        <v>116426.24077</v>
      </c>
      <c r="D156" s="317">
        <v>0</v>
      </c>
      <c r="E156" s="317">
        <v>0</v>
      </c>
      <c r="F156" s="317">
        <v>0</v>
      </c>
      <c r="G156" s="317">
        <v>0</v>
      </c>
      <c r="H156" s="317">
        <v>0</v>
      </c>
      <c r="I156" s="317"/>
      <c r="J156" s="317"/>
      <c r="K156" s="317">
        <f t="shared" si="17"/>
        <v>116.42624077000001</v>
      </c>
      <c r="L156" s="317">
        <f t="shared" si="16"/>
        <v>0</v>
      </c>
      <c r="M156" s="317">
        <f t="shared" si="19"/>
        <v>0</v>
      </c>
      <c r="N156" s="317">
        <f t="shared" si="18"/>
        <v>0</v>
      </c>
      <c r="O156" s="336">
        <f t="shared" si="18"/>
        <v>0</v>
      </c>
    </row>
    <row r="157" spans="1:15" hidden="1" x14ac:dyDescent="0.3">
      <c r="A157" s="334" t="s">
        <v>30</v>
      </c>
      <c r="B157" s="314" t="s">
        <v>235</v>
      </c>
      <c r="C157" s="314" t="s">
        <v>235</v>
      </c>
      <c r="D157" s="314"/>
      <c r="E157" s="314"/>
      <c r="F157" s="314"/>
      <c r="G157" s="314"/>
      <c r="H157" s="314"/>
      <c r="I157" s="314"/>
      <c r="J157" s="314"/>
      <c r="K157" s="314" t="e">
        <f t="shared" si="17"/>
        <v>#VALUE!</v>
      </c>
      <c r="L157" s="314">
        <f t="shared" si="16"/>
        <v>0</v>
      </c>
      <c r="M157" s="314">
        <f t="shared" si="19"/>
        <v>0</v>
      </c>
      <c r="N157" s="314">
        <f t="shared" si="18"/>
        <v>0</v>
      </c>
      <c r="O157" s="329">
        <f t="shared" si="18"/>
        <v>0</v>
      </c>
    </row>
    <row r="158" spans="1:15" hidden="1" x14ac:dyDescent="0.3">
      <c r="A158" s="328" t="s">
        <v>352</v>
      </c>
      <c r="B158" s="314">
        <v>310303.3</v>
      </c>
      <c r="C158" s="314">
        <v>310303.26299999998</v>
      </c>
      <c r="D158" s="314">
        <v>164248.11300000001</v>
      </c>
      <c r="E158" s="314">
        <v>161801.86300000001</v>
      </c>
      <c r="F158" s="314">
        <v>118046.7858</v>
      </c>
      <c r="G158" s="314">
        <v>38.042392676998702</v>
      </c>
      <c r="H158" s="314">
        <v>71.871014919970492</v>
      </c>
      <c r="I158" s="314"/>
      <c r="J158" s="314"/>
      <c r="K158" s="314">
        <f t="shared" si="17"/>
        <v>310.30326299999996</v>
      </c>
      <c r="L158" s="314">
        <f t="shared" si="16"/>
        <v>164.24811300000002</v>
      </c>
      <c r="M158" s="314">
        <f t="shared" si="19"/>
        <v>118.04678579999999</v>
      </c>
      <c r="N158" s="314">
        <f t="shared" si="18"/>
        <v>38.042392676998702</v>
      </c>
      <c r="O158" s="329">
        <f t="shared" si="18"/>
        <v>71.871014919970492</v>
      </c>
    </row>
    <row r="159" spans="1:15" ht="39.6" hidden="1" x14ac:dyDescent="0.3">
      <c r="A159" s="335" t="s">
        <v>353</v>
      </c>
      <c r="B159" s="317">
        <v>61462.400000000001</v>
      </c>
      <c r="C159" s="317">
        <v>61462.362999999998</v>
      </c>
      <c r="D159" s="317">
        <v>39827.663</v>
      </c>
      <c r="E159" s="317">
        <v>39827.663</v>
      </c>
      <c r="F159" s="317">
        <v>39827.663</v>
      </c>
      <c r="G159" s="317">
        <v>64.8000842401715</v>
      </c>
      <c r="H159" s="317">
        <v>100</v>
      </c>
      <c r="I159" s="317"/>
      <c r="J159" s="317"/>
      <c r="K159" s="317">
        <f t="shared" si="17"/>
        <v>61.462362999999996</v>
      </c>
      <c r="L159" s="317">
        <f t="shared" si="16"/>
        <v>39.827663000000001</v>
      </c>
      <c r="M159" s="317">
        <f t="shared" si="19"/>
        <v>39.827663000000001</v>
      </c>
      <c r="N159" s="317">
        <f t="shared" si="18"/>
        <v>64.8000842401715</v>
      </c>
      <c r="O159" s="336">
        <f t="shared" si="18"/>
        <v>100</v>
      </c>
    </row>
    <row r="160" spans="1:15" ht="26.4" hidden="1" x14ac:dyDescent="0.3">
      <c r="A160" s="335" t="s">
        <v>321</v>
      </c>
      <c r="B160" s="317"/>
      <c r="C160" s="317">
        <v>39827.663</v>
      </c>
      <c r="D160" s="317">
        <v>39827.663</v>
      </c>
      <c r="E160" s="317">
        <v>39827.663</v>
      </c>
      <c r="F160" s="317">
        <v>39827.663</v>
      </c>
      <c r="G160" s="317">
        <v>100</v>
      </c>
      <c r="H160" s="317">
        <v>100</v>
      </c>
      <c r="I160" s="317"/>
      <c r="J160" s="317"/>
      <c r="K160" s="317">
        <f t="shared" si="17"/>
        <v>39.827663000000001</v>
      </c>
      <c r="L160" s="317">
        <f t="shared" si="16"/>
        <v>39.827663000000001</v>
      </c>
      <c r="M160" s="317">
        <f t="shared" si="19"/>
        <v>39.827663000000001</v>
      </c>
      <c r="N160" s="317">
        <f t="shared" si="18"/>
        <v>100</v>
      </c>
      <c r="O160" s="336">
        <f t="shared" si="18"/>
        <v>100</v>
      </c>
    </row>
    <row r="161" spans="1:15" ht="26.4" hidden="1" x14ac:dyDescent="0.3">
      <c r="A161" s="335" t="s">
        <v>322</v>
      </c>
      <c r="B161" s="317"/>
      <c r="C161" s="317">
        <v>39827.663</v>
      </c>
      <c r="D161" s="317">
        <v>39827.663</v>
      </c>
      <c r="E161" s="317">
        <v>39827.663</v>
      </c>
      <c r="F161" s="317">
        <v>39827.663</v>
      </c>
      <c r="G161" s="317">
        <v>100</v>
      </c>
      <c r="H161" s="317">
        <v>100</v>
      </c>
      <c r="I161" s="317"/>
      <c r="J161" s="317"/>
      <c r="K161" s="317">
        <f t="shared" si="17"/>
        <v>39.827663000000001</v>
      </c>
      <c r="L161" s="317">
        <f t="shared" si="16"/>
        <v>39.827663000000001</v>
      </c>
      <c r="M161" s="317">
        <f t="shared" si="19"/>
        <v>39.827663000000001</v>
      </c>
      <c r="N161" s="317">
        <f t="shared" si="18"/>
        <v>100</v>
      </c>
      <c r="O161" s="336">
        <f t="shared" si="18"/>
        <v>100</v>
      </c>
    </row>
    <row r="162" spans="1:15" hidden="1" x14ac:dyDescent="0.3">
      <c r="A162" s="335" t="s">
        <v>323</v>
      </c>
      <c r="B162" s="317">
        <v>61462.400000000001</v>
      </c>
      <c r="C162" s="317">
        <v>21634.7</v>
      </c>
      <c r="D162" s="317">
        <v>0</v>
      </c>
      <c r="E162" s="317">
        <v>0</v>
      </c>
      <c r="F162" s="317">
        <v>0</v>
      </c>
      <c r="G162" s="317">
        <v>0</v>
      </c>
      <c r="H162" s="317">
        <v>0</v>
      </c>
      <c r="I162" s="317"/>
      <c r="J162" s="317"/>
      <c r="K162" s="317">
        <f t="shared" si="17"/>
        <v>21.634700000000002</v>
      </c>
      <c r="L162" s="317">
        <f t="shared" si="16"/>
        <v>0</v>
      </c>
      <c r="M162" s="317">
        <f t="shared" si="19"/>
        <v>0</v>
      </c>
      <c r="N162" s="317">
        <f t="shared" si="18"/>
        <v>0</v>
      </c>
      <c r="O162" s="336">
        <f t="shared" si="18"/>
        <v>0</v>
      </c>
    </row>
    <row r="163" spans="1:15" hidden="1" x14ac:dyDescent="0.3">
      <c r="A163" s="335" t="s">
        <v>351</v>
      </c>
      <c r="B163" s="317">
        <v>61462.400000000001</v>
      </c>
      <c r="C163" s="317">
        <v>21634.7</v>
      </c>
      <c r="D163" s="317">
        <v>0</v>
      </c>
      <c r="E163" s="317">
        <v>0</v>
      </c>
      <c r="F163" s="317">
        <v>0</v>
      </c>
      <c r="G163" s="317">
        <v>0</v>
      </c>
      <c r="H163" s="317">
        <v>0</v>
      </c>
      <c r="I163" s="317"/>
      <c r="J163" s="317"/>
      <c r="K163" s="317">
        <f t="shared" si="17"/>
        <v>21.634700000000002</v>
      </c>
      <c r="L163" s="317">
        <f t="shared" si="16"/>
        <v>0</v>
      </c>
      <c r="M163" s="317">
        <f t="shared" si="19"/>
        <v>0</v>
      </c>
      <c r="N163" s="317">
        <f t="shared" si="18"/>
        <v>0</v>
      </c>
      <c r="O163" s="336">
        <f t="shared" si="18"/>
        <v>0</v>
      </c>
    </row>
    <row r="164" spans="1:15" ht="79.2" hidden="1" x14ac:dyDescent="0.3">
      <c r="A164" s="335" t="s">
        <v>354</v>
      </c>
      <c r="B164" s="317">
        <v>248840.9</v>
      </c>
      <c r="C164" s="317">
        <v>248840.9</v>
      </c>
      <c r="D164" s="317">
        <v>124420.45</v>
      </c>
      <c r="E164" s="317">
        <v>121974.2</v>
      </c>
      <c r="F164" s="317">
        <v>78219.122799999997</v>
      </c>
      <c r="G164" s="317">
        <v>31.433386874906816</v>
      </c>
      <c r="H164" s="317">
        <v>62.866773749813632</v>
      </c>
      <c r="I164" s="317"/>
      <c r="J164" s="317"/>
      <c r="K164" s="317">
        <f t="shared" si="17"/>
        <v>248.8409</v>
      </c>
      <c r="L164" s="317">
        <f t="shared" si="16"/>
        <v>124.42045</v>
      </c>
      <c r="M164" s="317">
        <f t="shared" si="19"/>
        <v>78.219122799999994</v>
      </c>
      <c r="N164" s="317">
        <f t="shared" si="18"/>
        <v>31.433386874906816</v>
      </c>
      <c r="O164" s="336">
        <f t="shared" si="18"/>
        <v>62.866773749813632</v>
      </c>
    </row>
    <row r="165" spans="1:15" hidden="1" x14ac:dyDescent="0.3">
      <c r="A165" s="335" t="s">
        <v>327</v>
      </c>
      <c r="B165" s="317">
        <v>248840.9</v>
      </c>
      <c r="C165" s="317">
        <v>248840.9</v>
      </c>
      <c r="D165" s="317">
        <v>124420.45</v>
      </c>
      <c r="E165" s="317">
        <v>121974.2</v>
      </c>
      <c r="F165" s="317">
        <v>78219.122799999997</v>
      </c>
      <c r="G165" s="317">
        <v>31.433386874906816</v>
      </c>
      <c r="H165" s="317">
        <v>62.866773749813632</v>
      </c>
      <c r="I165" s="317"/>
      <c r="J165" s="317"/>
      <c r="K165" s="317">
        <f t="shared" si="17"/>
        <v>248.8409</v>
      </c>
      <c r="L165" s="317">
        <f t="shared" si="16"/>
        <v>124.42045</v>
      </c>
      <c r="M165" s="317">
        <f t="shared" si="19"/>
        <v>78.219122799999994</v>
      </c>
      <c r="N165" s="317">
        <f t="shared" si="18"/>
        <v>31.433386874906816</v>
      </c>
      <c r="O165" s="336">
        <f t="shared" si="18"/>
        <v>62.866773749813632</v>
      </c>
    </row>
    <row r="166" spans="1:15" hidden="1" x14ac:dyDescent="0.3">
      <c r="A166" s="335" t="s">
        <v>261</v>
      </c>
      <c r="B166" s="317">
        <v>248840.9</v>
      </c>
      <c r="C166" s="317">
        <v>248840.9</v>
      </c>
      <c r="D166" s="317">
        <v>124420.45</v>
      </c>
      <c r="E166" s="317">
        <v>121974.2</v>
      </c>
      <c r="F166" s="317">
        <v>78219.122799999997</v>
      </c>
      <c r="G166" s="317">
        <v>31.433386874906816</v>
      </c>
      <c r="H166" s="317">
        <v>62.866773749813632</v>
      </c>
      <c r="I166" s="317"/>
      <c r="J166" s="317"/>
      <c r="K166" s="317">
        <f t="shared" si="17"/>
        <v>248.8409</v>
      </c>
      <c r="L166" s="317">
        <f t="shared" si="16"/>
        <v>124.42045</v>
      </c>
      <c r="M166" s="317">
        <f t="shared" si="19"/>
        <v>78.219122799999994</v>
      </c>
      <c r="N166" s="317">
        <f t="shared" si="18"/>
        <v>31.433386874906816</v>
      </c>
      <c r="O166" s="336">
        <f t="shared" si="18"/>
        <v>62.866773749813632</v>
      </c>
    </row>
    <row r="167" spans="1:15" hidden="1" x14ac:dyDescent="0.3">
      <c r="A167" s="337" t="s">
        <v>30</v>
      </c>
      <c r="B167" s="317"/>
      <c r="C167" s="317"/>
      <c r="D167" s="317"/>
      <c r="E167" s="317"/>
      <c r="F167" s="317"/>
      <c r="G167" s="317"/>
      <c r="H167" s="317"/>
      <c r="I167" s="317"/>
      <c r="J167" s="317"/>
      <c r="K167" s="317">
        <f t="shared" si="17"/>
        <v>0</v>
      </c>
      <c r="L167" s="317">
        <f t="shared" si="16"/>
        <v>0</v>
      </c>
      <c r="M167" s="317">
        <f t="shared" si="19"/>
        <v>0</v>
      </c>
      <c r="N167" s="317">
        <f t="shared" si="18"/>
        <v>0</v>
      </c>
      <c r="O167" s="336">
        <f t="shared" si="18"/>
        <v>0</v>
      </c>
    </row>
    <row r="168" spans="1:15" ht="39.6" hidden="1" x14ac:dyDescent="0.3">
      <c r="A168" s="338" t="s">
        <v>355</v>
      </c>
      <c r="B168" s="314"/>
      <c r="C168" s="314">
        <v>1384.4630999999999</v>
      </c>
      <c r="D168" s="314">
        <v>1384.4630999999999</v>
      </c>
      <c r="E168" s="314">
        <v>1384.4630999999999</v>
      </c>
      <c r="F168" s="314">
        <v>1384.4630999999999</v>
      </c>
      <c r="G168" s="314">
        <v>100</v>
      </c>
      <c r="H168" s="314">
        <v>100</v>
      </c>
      <c r="I168" s="314"/>
      <c r="J168" s="314"/>
      <c r="K168" s="314">
        <f t="shared" si="17"/>
        <v>1.3844630999999998</v>
      </c>
      <c r="L168" s="314">
        <f t="shared" ref="L168:L185" si="20">+D168/1000</f>
        <v>1.3844630999999998</v>
      </c>
      <c r="M168" s="314">
        <f t="shared" si="19"/>
        <v>1.3844630999999998</v>
      </c>
      <c r="N168" s="314">
        <f t="shared" si="18"/>
        <v>100</v>
      </c>
      <c r="O168" s="329">
        <f t="shared" si="18"/>
        <v>100</v>
      </c>
    </row>
    <row r="169" spans="1:15" ht="52.8" hidden="1" x14ac:dyDescent="0.3">
      <c r="A169" s="335" t="s">
        <v>356</v>
      </c>
      <c r="B169" s="314"/>
      <c r="C169" s="315">
        <v>664.25399999999991</v>
      </c>
      <c r="D169" s="315">
        <v>664.25399999999991</v>
      </c>
      <c r="E169" s="315">
        <v>664.25399999999991</v>
      </c>
      <c r="F169" s="315">
        <v>664.25399999999991</v>
      </c>
      <c r="G169" s="315">
        <v>100</v>
      </c>
      <c r="H169" s="315">
        <v>100</v>
      </c>
      <c r="I169" s="315"/>
      <c r="J169" s="315"/>
      <c r="K169" s="315">
        <f t="shared" si="17"/>
        <v>0.6642539999999999</v>
      </c>
      <c r="L169" s="315">
        <f t="shared" si="20"/>
        <v>0.6642539999999999</v>
      </c>
      <c r="M169" s="315">
        <f t="shared" si="19"/>
        <v>0.6642539999999999</v>
      </c>
      <c r="N169" s="315">
        <f t="shared" si="18"/>
        <v>100</v>
      </c>
      <c r="O169" s="331">
        <f t="shared" si="18"/>
        <v>100</v>
      </c>
    </row>
    <row r="170" spans="1:15" ht="39.6" hidden="1" x14ac:dyDescent="0.3">
      <c r="A170" s="335" t="s">
        <v>357</v>
      </c>
      <c r="B170" s="314"/>
      <c r="C170" s="315">
        <v>664.25399999999991</v>
      </c>
      <c r="D170" s="315">
        <v>664.25399999999991</v>
      </c>
      <c r="E170" s="315">
        <v>664.25399999999991</v>
      </c>
      <c r="F170" s="315">
        <v>664.25399999999991</v>
      </c>
      <c r="G170" s="315">
        <v>100</v>
      </c>
      <c r="H170" s="315">
        <v>100</v>
      </c>
      <c r="I170" s="315"/>
      <c r="J170" s="315"/>
      <c r="K170" s="315">
        <f t="shared" si="17"/>
        <v>0.6642539999999999</v>
      </c>
      <c r="L170" s="315">
        <f t="shared" si="20"/>
        <v>0.6642539999999999</v>
      </c>
      <c r="M170" s="315">
        <f t="shared" si="19"/>
        <v>0.6642539999999999</v>
      </c>
      <c r="N170" s="315">
        <f t="shared" si="18"/>
        <v>100</v>
      </c>
      <c r="O170" s="331">
        <f t="shared" si="18"/>
        <v>100</v>
      </c>
    </row>
    <row r="171" spans="1:15" ht="26.4" hidden="1" x14ac:dyDescent="0.3">
      <c r="A171" s="335" t="s">
        <v>347</v>
      </c>
      <c r="B171" s="314"/>
      <c r="C171" s="315">
        <v>664.25399999999991</v>
      </c>
      <c r="D171" s="315">
        <v>664.25399999999991</v>
      </c>
      <c r="E171" s="315">
        <v>664.25399999999991</v>
      </c>
      <c r="F171" s="315">
        <v>664.25399999999991</v>
      </c>
      <c r="G171" s="315">
        <v>100</v>
      </c>
      <c r="H171" s="315">
        <v>100</v>
      </c>
      <c r="I171" s="315"/>
      <c r="J171" s="315"/>
      <c r="K171" s="315">
        <f t="shared" si="17"/>
        <v>0.6642539999999999</v>
      </c>
      <c r="L171" s="315">
        <f t="shared" si="20"/>
        <v>0.6642539999999999</v>
      </c>
      <c r="M171" s="315">
        <f t="shared" si="19"/>
        <v>0.6642539999999999</v>
      </c>
      <c r="N171" s="315">
        <f t="shared" si="18"/>
        <v>100</v>
      </c>
      <c r="O171" s="331">
        <f t="shared" si="18"/>
        <v>100</v>
      </c>
    </row>
    <row r="172" spans="1:15" hidden="1" x14ac:dyDescent="0.3">
      <c r="A172" s="335" t="s">
        <v>348</v>
      </c>
      <c r="B172" s="314"/>
      <c r="C172" s="315">
        <v>159.88999999999999</v>
      </c>
      <c r="D172" s="315">
        <v>159.88999999999999</v>
      </c>
      <c r="E172" s="315">
        <v>159.88999999999999</v>
      </c>
      <c r="F172" s="315">
        <v>159.88999999999999</v>
      </c>
      <c r="G172" s="315">
        <v>100</v>
      </c>
      <c r="H172" s="315">
        <v>100</v>
      </c>
      <c r="I172" s="315"/>
      <c r="J172" s="315"/>
      <c r="K172" s="315">
        <f t="shared" si="17"/>
        <v>0.15988999999999998</v>
      </c>
      <c r="L172" s="315">
        <f t="shared" si="20"/>
        <v>0.15988999999999998</v>
      </c>
      <c r="M172" s="315">
        <f t="shared" si="19"/>
        <v>0.15988999999999998</v>
      </c>
      <c r="N172" s="315">
        <f t="shared" si="18"/>
        <v>100</v>
      </c>
      <c r="O172" s="331">
        <f t="shared" si="18"/>
        <v>100</v>
      </c>
    </row>
    <row r="173" spans="1:15" hidden="1" x14ac:dyDescent="0.3">
      <c r="A173" s="335" t="s">
        <v>349</v>
      </c>
      <c r="B173" s="314"/>
      <c r="C173" s="315">
        <v>504.36399999999998</v>
      </c>
      <c r="D173" s="315">
        <v>504.36399999999998</v>
      </c>
      <c r="E173" s="315">
        <v>504.36399999999998</v>
      </c>
      <c r="F173" s="315">
        <v>504.36399999999998</v>
      </c>
      <c r="G173" s="315">
        <v>100</v>
      </c>
      <c r="H173" s="315">
        <v>100</v>
      </c>
      <c r="I173" s="315"/>
      <c r="J173" s="315"/>
      <c r="K173" s="315">
        <f t="shared" si="17"/>
        <v>0.50436399999999992</v>
      </c>
      <c r="L173" s="315">
        <f t="shared" si="20"/>
        <v>0.50436399999999992</v>
      </c>
      <c r="M173" s="315">
        <f t="shared" si="19"/>
        <v>0.50436399999999992</v>
      </c>
      <c r="N173" s="315">
        <f t="shared" si="18"/>
        <v>100</v>
      </c>
      <c r="O173" s="331">
        <f t="shared" si="18"/>
        <v>100</v>
      </c>
    </row>
    <row r="174" spans="1:15" ht="92.4" hidden="1" x14ac:dyDescent="0.3">
      <c r="A174" s="339" t="s">
        <v>358</v>
      </c>
      <c r="B174" s="317"/>
      <c r="C174" s="317">
        <v>720.20910000000003</v>
      </c>
      <c r="D174" s="317">
        <v>720.20910000000003</v>
      </c>
      <c r="E174" s="317">
        <v>720.20910000000003</v>
      </c>
      <c r="F174" s="317">
        <v>720.20910000000003</v>
      </c>
      <c r="G174" s="317">
        <v>100</v>
      </c>
      <c r="H174" s="317">
        <v>100</v>
      </c>
      <c r="I174" s="317"/>
      <c r="J174" s="317"/>
      <c r="K174" s="317">
        <f t="shared" si="17"/>
        <v>0.72020910000000005</v>
      </c>
      <c r="L174" s="317">
        <f t="shared" si="20"/>
        <v>0.72020910000000005</v>
      </c>
      <c r="M174" s="317">
        <f t="shared" si="19"/>
        <v>0.72020910000000005</v>
      </c>
      <c r="N174" s="317">
        <f t="shared" si="18"/>
        <v>100</v>
      </c>
      <c r="O174" s="336">
        <f t="shared" si="18"/>
        <v>100</v>
      </c>
    </row>
    <row r="175" spans="1:15" ht="92.4" hidden="1" x14ac:dyDescent="0.3">
      <c r="A175" s="335" t="s">
        <v>359</v>
      </c>
      <c r="B175" s="317"/>
      <c r="C175" s="317">
        <v>720.20910000000003</v>
      </c>
      <c r="D175" s="317">
        <v>720.20910000000003</v>
      </c>
      <c r="E175" s="317">
        <v>720.20910000000003</v>
      </c>
      <c r="F175" s="317">
        <v>720.20910000000003</v>
      </c>
      <c r="G175" s="317">
        <v>100</v>
      </c>
      <c r="H175" s="317">
        <v>100</v>
      </c>
      <c r="I175" s="317"/>
      <c r="J175" s="317"/>
      <c r="K175" s="317">
        <f t="shared" si="17"/>
        <v>0.72020910000000005</v>
      </c>
      <c r="L175" s="317">
        <f t="shared" si="20"/>
        <v>0.72020910000000005</v>
      </c>
      <c r="M175" s="317">
        <f t="shared" si="19"/>
        <v>0.72020910000000005</v>
      </c>
      <c r="N175" s="317">
        <f t="shared" si="18"/>
        <v>100</v>
      </c>
      <c r="O175" s="336">
        <f t="shared" si="18"/>
        <v>100</v>
      </c>
    </row>
    <row r="176" spans="1:15" ht="26.4" hidden="1" x14ac:dyDescent="0.3">
      <c r="A176" s="335" t="s">
        <v>347</v>
      </c>
      <c r="B176" s="317"/>
      <c r="C176" s="317">
        <v>720.20910000000003</v>
      </c>
      <c r="D176" s="317">
        <v>720.20910000000003</v>
      </c>
      <c r="E176" s="317">
        <v>720.20910000000003</v>
      </c>
      <c r="F176" s="317">
        <v>720.20910000000003</v>
      </c>
      <c r="G176" s="317">
        <v>100</v>
      </c>
      <c r="H176" s="317">
        <v>100</v>
      </c>
      <c r="I176" s="317"/>
      <c r="J176" s="317"/>
      <c r="K176" s="317">
        <f t="shared" si="17"/>
        <v>0.72020910000000005</v>
      </c>
      <c r="L176" s="317">
        <f t="shared" si="20"/>
        <v>0.72020910000000005</v>
      </c>
      <c r="M176" s="317">
        <f t="shared" si="19"/>
        <v>0.72020910000000005</v>
      </c>
      <c r="N176" s="317">
        <f t="shared" si="18"/>
        <v>100</v>
      </c>
      <c r="O176" s="336">
        <f t="shared" si="18"/>
        <v>100</v>
      </c>
    </row>
    <row r="177" spans="1:15" hidden="1" x14ac:dyDescent="0.3">
      <c r="A177" s="335" t="s">
        <v>348</v>
      </c>
      <c r="B177" s="314" t="s">
        <v>235</v>
      </c>
      <c r="C177" s="315">
        <v>719.59699999999998</v>
      </c>
      <c r="D177" s="315">
        <v>719.59699999999998</v>
      </c>
      <c r="E177" s="315">
        <v>719.59699999999998</v>
      </c>
      <c r="F177" s="315">
        <v>719.59699999999998</v>
      </c>
      <c r="G177" s="315">
        <v>100</v>
      </c>
      <c r="H177" s="315">
        <v>100</v>
      </c>
      <c r="I177" s="315"/>
      <c r="J177" s="315"/>
      <c r="K177" s="315">
        <f t="shared" si="17"/>
        <v>0.71959699999999993</v>
      </c>
      <c r="L177" s="315">
        <f t="shared" si="20"/>
        <v>0.71959699999999993</v>
      </c>
      <c r="M177" s="315">
        <f t="shared" si="19"/>
        <v>0.71959699999999993</v>
      </c>
      <c r="N177" s="315">
        <f t="shared" si="18"/>
        <v>100</v>
      </c>
      <c r="O177" s="331">
        <f t="shared" si="18"/>
        <v>100</v>
      </c>
    </row>
    <row r="178" spans="1:15" hidden="1" x14ac:dyDescent="0.3">
      <c r="A178" s="330" t="s">
        <v>349</v>
      </c>
      <c r="B178" s="314"/>
      <c r="C178" s="315">
        <v>0.61209999999999998</v>
      </c>
      <c r="D178" s="315">
        <v>0.61209999999999998</v>
      </c>
      <c r="E178" s="315">
        <v>0.61209999999999998</v>
      </c>
      <c r="F178" s="315">
        <v>0.61209999999999998</v>
      </c>
      <c r="G178" s="315">
        <v>100</v>
      </c>
      <c r="H178" s="315">
        <v>100</v>
      </c>
      <c r="I178" s="315"/>
      <c r="J178" s="315"/>
      <c r="K178" s="315">
        <f t="shared" si="17"/>
        <v>6.1209999999999997E-4</v>
      </c>
      <c r="L178" s="315">
        <f t="shared" si="20"/>
        <v>6.1209999999999997E-4</v>
      </c>
      <c r="M178" s="315">
        <f t="shared" si="19"/>
        <v>6.1209999999999997E-4</v>
      </c>
      <c r="N178" s="315">
        <f t="shared" si="18"/>
        <v>100</v>
      </c>
      <c r="O178" s="331">
        <f t="shared" si="18"/>
        <v>100</v>
      </c>
    </row>
    <row r="179" spans="1:15" hidden="1" x14ac:dyDescent="0.3">
      <c r="A179" s="334" t="s">
        <v>30</v>
      </c>
      <c r="B179" s="314"/>
      <c r="C179" s="314"/>
      <c r="D179" s="314"/>
      <c r="E179" s="314"/>
      <c r="F179" s="314"/>
      <c r="G179" s="314"/>
      <c r="H179" s="314"/>
      <c r="I179" s="314"/>
      <c r="J179" s="314"/>
      <c r="K179" s="314">
        <f t="shared" si="17"/>
        <v>0</v>
      </c>
      <c r="L179" s="314">
        <f t="shared" si="20"/>
        <v>0</v>
      </c>
      <c r="M179" s="314">
        <f t="shared" si="19"/>
        <v>0</v>
      </c>
      <c r="N179" s="314">
        <f t="shared" si="18"/>
        <v>0</v>
      </c>
      <c r="O179" s="329">
        <f t="shared" si="18"/>
        <v>0</v>
      </c>
    </row>
    <row r="180" spans="1:15" ht="66" hidden="1" x14ac:dyDescent="0.3">
      <c r="A180" s="328" t="s">
        <v>360</v>
      </c>
      <c r="B180" s="314">
        <v>419627</v>
      </c>
      <c r="C180" s="314">
        <v>419627</v>
      </c>
      <c r="D180" s="314">
        <v>0</v>
      </c>
      <c r="E180" s="314">
        <v>0</v>
      </c>
      <c r="F180" s="314">
        <v>0</v>
      </c>
      <c r="G180" s="314">
        <v>0</v>
      </c>
      <c r="H180" s="314">
        <v>0</v>
      </c>
      <c r="I180" s="314"/>
      <c r="J180" s="314"/>
      <c r="K180" s="314">
        <f t="shared" si="17"/>
        <v>419.62700000000001</v>
      </c>
      <c r="L180" s="314">
        <f t="shared" si="20"/>
        <v>0</v>
      </c>
      <c r="M180" s="314">
        <f t="shared" si="19"/>
        <v>0</v>
      </c>
      <c r="N180" s="314">
        <f t="shared" si="18"/>
        <v>0</v>
      </c>
      <c r="O180" s="329">
        <f t="shared" si="18"/>
        <v>0</v>
      </c>
    </row>
    <row r="181" spans="1:15" ht="66" hidden="1" x14ac:dyDescent="0.3">
      <c r="A181" s="335" t="s">
        <v>360</v>
      </c>
      <c r="B181" s="317">
        <v>419627</v>
      </c>
      <c r="C181" s="317">
        <v>419627</v>
      </c>
      <c r="D181" s="317">
        <v>0</v>
      </c>
      <c r="E181" s="317">
        <v>0</v>
      </c>
      <c r="F181" s="317">
        <v>0</v>
      </c>
      <c r="G181" s="317">
        <v>0</v>
      </c>
      <c r="H181" s="317">
        <v>0</v>
      </c>
      <c r="I181" s="317"/>
      <c r="J181" s="317"/>
      <c r="K181" s="317">
        <f t="shared" si="17"/>
        <v>419.62700000000001</v>
      </c>
      <c r="L181" s="317">
        <f t="shared" si="20"/>
        <v>0</v>
      </c>
      <c r="M181" s="317">
        <f t="shared" si="19"/>
        <v>0</v>
      </c>
      <c r="N181" s="317">
        <f t="shared" si="18"/>
        <v>0</v>
      </c>
      <c r="O181" s="336">
        <f t="shared" si="18"/>
        <v>0</v>
      </c>
    </row>
    <row r="182" spans="1:15" hidden="1" x14ac:dyDescent="0.3">
      <c r="A182" s="335" t="s">
        <v>323</v>
      </c>
      <c r="B182" s="317">
        <v>419627</v>
      </c>
      <c r="C182" s="317">
        <v>419627</v>
      </c>
      <c r="D182" s="317">
        <v>0</v>
      </c>
      <c r="E182" s="317">
        <v>0</v>
      </c>
      <c r="F182" s="317">
        <v>0</v>
      </c>
      <c r="G182" s="317">
        <v>0</v>
      </c>
      <c r="H182" s="317">
        <v>0</v>
      </c>
      <c r="I182" s="317"/>
      <c r="J182" s="317"/>
      <c r="K182" s="317">
        <f t="shared" si="17"/>
        <v>419.62700000000001</v>
      </c>
      <c r="L182" s="317">
        <f t="shared" si="20"/>
        <v>0</v>
      </c>
      <c r="M182" s="317">
        <f t="shared" si="19"/>
        <v>0</v>
      </c>
      <c r="N182" s="317">
        <f t="shared" si="18"/>
        <v>0</v>
      </c>
      <c r="O182" s="336">
        <f t="shared" si="18"/>
        <v>0</v>
      </c>
    </row>
    <row r="183" spans="1:15" hidden="1" x14ac:dyDescent="0.3">
      <c r="A183" s="335" t="s">
        <v>351</v>
      </c>
      <c r="B183" s="317">
        <v>419627</v>
      </c>
      <c r="C183" s="317">
        <v>419627</v>
      </c>
      <c r="D183" s="317">
        <v>0</v>
      </c>
      <c r="E183" s="317">
        <v>0</v>
      </c>
      <c r="F183" s="317">
        <v>0</v>
      </c>
      <c r="G183" s="317">
        <v>0</v>
      </c>
      <c r="H183" s="317">
        <v>0</v>
      </c>
      <c r="I183" s="317"/>
      <c r="J183" s="317"/>
      <c r="K183" s="317">
        <f t="shared" si="17"/>
        <v>419.62700000000001</v>
      </c>
      <c r="L183" s="317">
        <f t="shared" si="20"/>
        <v>0</v>
      </c>
      <c r="M183" s="317">
        <f t="shared" si="19"/>
        <v>0</v>
      </c>
      <c r="N183" s="317">
        <f t="shared" si="18"/>
        <v>0</v>
      </c>
      <c r="O183" s="336">
        <f t="shared" si="18"/>
        <v>0</v>
      </c>
    </row>
    <row r="184" spans="1:15" hidden="1" x14ac:dyDescent="0.3">
      <c r="A184" s="334" t="s">
        <v>30</v>
      </c>
      <c r="B184" s="314" t="s">
        <v>235</v>
      </c>
      <c r="C184" s="314" t="s">
        <v>235</v>
      </c>
      <c r="D184" s="314"/>
      <c r="E184" s="314"/>
      <c r="F184" s="314"/>
      <c r="G184" s="314"/>
      <c r="H184" s="314"/>
      <c r="I184" s="314"/>
      <c r="J184" s="314"/>
      <c r="K184" s="314" t="e">
        <f t="shared" si="17"/>
        <v>#VALUE!</v>
      </c>
      <c r="L184" s="314">
        <f t="shared" si="20"/>
        <v>0</v>
      </c>
      <c r="M184" s="314">
        <f t="shared" si="19"/>
        <v>0</v>
      </c>
      <c r="N184" s="314">
        <f t="shared" si="18"/>
        <v>0</v>
      </c>
      <c r="O184" s="329">
        <f t="shared" si="18"/>
        <v>0</v>
      </c>
    </row>
    <row r="185" spans="1:15" ht="13.8" thickBot="1" x14ac:dyDescent="0.35">
      <c r="A185" s="340" t="s">
        <v>196</v>
      </c>
      <c r="B185" s="341">
        <v>67671392.5</v>
      </c>
      <c r="C185" s="341">
        <f>+C9+C34+C38</f>
        <v>69130201.81319502</v>
      </c>
      <c r="D185" s="341">
        <f t="shared" ref="D185:F185" si="21">+D9+D34+D38</f>
        <v>33523751.323119994</v>
      </c>
      <c r="E185" s="341">
        <f t="shared" si="21"/>
        <v>33370954.618919991</v>
      </c>
      <c r="F185" s="341">
        <f t="shared" si="21"/>
        <v>32779288.526720006</v>
      </c>
      <c r="G185" s="341">
        <v>47.038146519854799</v>
      </c>
      <c r="H185" s="341">
        <v>97.496402436750301</v>
      </c>
      <c r="I185" s="341"/>
      <c r="J185" s="341"/>
      <c r="K185" s="341">
        <f t="shared" si="17"/>
        <v>69130.201813195017</v>
      </c>
      <c r="L185" s="341">
        <f t="shared" si="20"/>
        <v>33523.751323119992</v>
      </c>
      <c r="M185" s="341">
        <f t="shared" si="19"/>
        <v>32779.288526720004</v>
      </c>
      <c r="N185" s="341">
        <f t="shared" si="18"/>
        <v>47.038146519854799</v>
      </c>
      <c r="O185" s="342">
        <f t="shared" si="18"/>
        <v>97.496402436750301</v>
      </c>
    </row>
    <row r="186" spans="1:15" ht="13.8" thickTop="1" x14ac:dyDescent="0.3"/>
    <row r="187" spans="1:15" x14ac:dyDescent="0.3">
      <c r="C187" s="318">
        <v>70409311.400000006</v>
      </c>
      <c r="D187" s="318">
        <v>33969699.63899</v>
      </c>
      <c r="E187" s="318">
        <v>33804940.187590003</v>
      </c>
      <c r="F187" s="318">
        <v>33119235.06693</v>
      </c>
    </row>
    <row r="188" spans="1:15" x14ac:dyDescent="0.3">
      <c r="D188" s="318"/>
      <c r="E188" s="318"/>
      <c r="F188" s="318"/>
    </row>
    <row r="189" spans="1:15" x14ac:dyDescent="0.3">
      <c r="C189" s="318">
        <f>C185-C187</f>
        <v>-1279109.586804986</v>
      </c>
      <c r="D189" s="318">
        <f>D185-D187</f>
        <v>-445948.31587000564</v>
      </c>
      <c r="E189" s="318">
        <f t="shared" ref="E189:F189" si="22">E185-E187</f>
        <v>-433985.56867001206</v>
      </c>
      <c r="F189" s="318">
        <f t="shared" si="22"/>
        <v>-339946.54020999372</v>
      </c>
    </row>
    <row r="198" ht="41.25" customHeight="1" x14ac:dyDescent="0.3"/>
    <row r="199" ht="41.25" customHeight="1" x14ac:dyDescent="0.3"/>
    <row r="200" ht="41.25" customHeight="1" x14ac:dyDescent="0.3"/>
  </sheetData>
  <mergeCells count="14">
    <mergeCell ref="L6:L7"/>
    <mergeCell ref="M6:M7"/>
    <mergeCell ref="N6:O6"/>
    <mergeCell ref="C1:H1"/>
    <mergeCell ref="A3:O3"/>
    <mergeCell ref="A6:A7"/>
    <mergeCell ref="B6:B7"/>
    <mergeCell ref="C6:C7"/>
    <mergeCell ref="D6:D7"/>
    <mergeCell ref="E6:E7"/>
    <mergeCell ref="F6:F7"/>
    <mergeCell ref="G6:H6"/>
    <mergeCell ref="K6:K7"/>
    <mergeCell ref="I6:J6"/>
  </mergeCells>
  <pageMargins left="0.98425196850393704" right="0" top="0.59055118110236227" bottom="0.59055118110236227" header="0.31496062992125984" footer="0.31496062992125984"/>
  <pageSetup paperSize="9" scale="76" fitToHeight="0" orientation="portrait" r:id="rId1"/>
  <headerFooter>
    <oddFooter>&amp;C&amp;"Arial,обычный"&amp;8Страница 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zoomScaleNormal="100" workbookViewId="0">
      <selection activeCell="M8" sqref="M8"/>
    </sheetView>
  </sheetViews>
  <sheetFormatPr defaultColWidth="9.109375" defaultRowHeight="13.2" x14ac:dyDescent="0.3"/>
  <cols>
    <col min="1" max="1" width="22.88671875" style="217" customWidth="1"/>
    <col min="2" max="2" width="11.33203125" style="243" hidden="1" customWidth="1"/>
    <col min="3" max="3" width="11" style="243" hidden="1" customWidth="1"/>
    <col min="4" max="4" width="9.5546875" style="243" hidden="1" customWidth="1"/>
    <col min="5" max="6" width="9.6640625" style="243" bestFit="1" customWidth="1"/>
    <col min="7" max="7" width="9.44140625" style="243" customWidth="1"/>
    <col min="8" max="8" width="6.6640625" style="243" customWidth="1"/>
    <col min="9" max="9" width="7" style="243" customWidth="1"/>
    <col min="10" max="10" width="6.109375" style="243" customWidth="1"/>
    <col min="11" max="12" width="11.33203125" style="243" hidden="1" customWidth="1"/>
    <col min="13" max="13" width="9.6640625" style="243" hidden="1" customWidth="1"/>
    <col min="14" max="15" width="9.6640625" style="243" bestFit="1" customWidth="1"/>
    <col min="16" max="16" width="9.5546875" style="243" customWidth="1"/>
    <col min="17" max="17" width="6.109375" style="243" customWidth="1"/>
    <col min="18" max="18" width="6.6640625" style="243" customWidth="1"/>
    <col min="19" max="19" width="6" style="243" customWidth="1"/>
    <col min="20" max="22" width="9.6640625" style="243" hidden="1" customWidth="1"/>
    <col min="23" max="25" width="9.6640625" style="243" bestFit="1" customWidth="1"/>
    <col min="26" max="26" width="7.33203125" style="243" bestFit="1" customWidth="1"/>
    <col min="27" max="27" width="6.44140625" style="243" customWidth="1"/>
    <col min="28" max="28" width="6.109375" style="243" customWidth="1"/>
    <col min="29" max="16384" width="9.109375" style="319"/>
  </cols>
  <sheetData>
    <row r="1" spans="1:28" ht="28.5" customHeight="1" x14ac:dyDescent="0.3">
      <c r="Y1" s="424" t="s">
        <v>405</v>
      </c>
      <c r="Z1" s="424"/>
      <c r="AA1" s="424"/>
      <c r="AB1" s="424"/>
    </row>
    <row r="2" spans="1:28" s="235" customFormat="1" ht="35.4" customHeight="1" x14ac:dyDescent="0.3">
      <c r="A2" s="404" t="s">
        <v>425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</row>
    <row r="3" spans="1:28" s="235" customFormat="1" ht="13.8" thickBot="1" x14ac:dyDescent="0.3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425" t="s">
        <v>391</v>
      </c>
      <c r="AA3" s="425"/>
      <c r="AB3" s="425"/>
    </row>
    <row r="4" spans="1:28" s="358" customFormat="1" ht="13.5" customHeight="1" thickTop="1" x14ac:dyDescent="0.3">
      <c r="A4" s="426" t="s">
        <v>190</v>
      </c>
      <c r="B4" s="428" t="s">
        <v>392</v>
      </c>
      <c r="C4" s="428"/>
      <c r="D4" s="428"/>
      <c r="E4" s="428"/>
      <c r="F4" s="428"/>
      <c r="G4" s="428"/>
      <c r="H4" s="428"/>
      <c r="I4" s="428"/>
      <c r="J4" s="428"/>
      <c r="K4" s="428" t="s">
        <v>393</v>
      </c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30"/>
    </row>
    <row r="5" spans="1:28" s="358" customFormat="1" ht="28.8" customHeight="1" x14ac:dyDescent="0.3">
      <c r="A5" s="427"/>
      <c r="B5" s="429"/>
      <c r="C5" s="429"/>
      <c r="D5" s="429"/>
      <c r="E5" s="429"/>
      <c r="F5" s="429"/>
      <c r="G5" s="429"/>
      <c r="H5" s="429"/>
      <c r="I5" s="429"/>
      <c r="J5" s="429"/>
      <c r="K5" s="429" t="s">
        <v>394</v>
      </c>
      <c r="L5" s="429"/>
      <c r="M5" s="429"/>
      <c r="N5" s="429"/>
      <c r="O5" s="429"/>
      <c r="P5" s="429"/>
      <c r="Q5" s="429"/>
      <c r="R5" s="429"/>
      <c r="S5" s="429"/>
      <c r="T5" s="429" t="s">
        <v>395</v>
      </c>
      <c r="U5" s="429"/>
      <c r="V5" s="429"/>
      <c r="W5" s="429"/>
      <c r="X5" s="429"/>
      <c r="Y5" s="429"/>
      <c r="Z5" s="429"/>
      <c r="AA5" s="429"/>
      <c r="AB5" s="431"/>
    </row>
    <row r="6" spans="1:28" s="358" customFormat="1" ht="25.5" customHeight="1" x14ac:dyDescent="0.3">
      <c r="A6" s="427"/>
      <c r="B6" s="429" t="s">
        <v>363</v>
      </c>
      <c r="C6" s="429"/>
      <c r="D6" s="429"/>
      <c r="E6" s="429" t="s">
        <v>365</v>
      </c>
      <c r="F6" s="429"/>
      <c r="G6" s="429"/>
      <c r="H6" s="429" t="s">
        <v>396</v>
      </c>
      <c r="I6" s="429"/>
      <c r="J6" s="429"/>
      <c r="K6" s="429" t="s">
        <v>363</v>
      </c>
      <c r="L6" s="429"/>
      <c r="M6" s="429"/>
      <c r="N6" s="429" t="s">
        <v>365</v>
      </c>
      <c r="O6" s="429"/>
      <c r="P6" s="429"/>
      <c r="Q6" s="429" t="s">
        <v>396</v>
      </c>
      <c r="R6" s="429"/>
      <c r="S6" s="429"/>
      <c r="T6" s="429" t="s">
        <v>363</v>
      </c>
      <c r="U6" s="429"/>
      <c r="V6" s="429"/>
      <c r="W6" s="429" t="s">
        <v>365</v>
      </c>
      <c r="X6" s="429"/>
      <c r="Y6" s="429"/>
      <c r="Z6" s="429" t="s">
        <v>396</v>
      </c>
      <c r="AA6" s="429"/>
      <c r="AB6" s="431"/>
    </row>
    <row r="7" spans="1:28" s="358" customFormat="1" x14ac:dyDescent="0.3">
      <c r="A7" s="427"/>
      <c r="B7" s="429" t="s">
        <v>196</v>
      </c>
      <c r="C7" s="429" t="s">
        <v>8</v>
      </c>
      <c r="D7" s="429"/>
      <c r="E7" s="429" t="s">
        <v>196</v>
      </c>
      <c r="F7" s="429" t="s">
        <v>8</v>
      </c>
      <c r="G7" s="429"/>
      <c r="H7" s="429" t="s">
        <v>196</v>
      </c>
      <c r="I7" s="429" t="s">
        <v>8</v>
      </c>
      <c r="J7" s="429"/>
      <c r="K7" s="429" t="s">
        <v>196</v>
      </c>
      <c r="L7" s="429" t="s">
        <v>8</v>
      </c>
      <c r="M7" s="429"/>
      <c r="N7" s="429" t="s">
        <v>196</v>
      </c>
      <c r="O7" s="429" t="s">
        <v>8</v>
      </c>
      <c r="P7" s="429"/>
      <c r="Q7" s="429" t="s">
        <v>196</v>
      </c>
      <c r="R7" s="429" t="s">
        <v>8</v>
      </c>
      <c r="S7" s="429"/>
      <c r="T7" s="429" t="s">
        <v>196</v>
      </c>
      <c r="U7" s="429" t="s">
        <v>8</v>
      </c>
      <c r="V7" s="429"/>
      <c r="W7" s="429" t="s">
        <v>196</v>
      </c>
      <c r="X7" s="429" t="s">
        <v>8</v>
      </c>
      <c r="Y7" s="429"/>
      <c r="Z7" s="429" t="s">
        <v>196</v>
      </c>
      <c r="AA7" s="429" t="s">
        <v>8</v>
      </c>
      <c r="AB7" s="431"/>
    </row>
    <row r="8" spans="1:28" s="359" customFormat="1" ht="48" x14ac:dyDescent="0.3">
      <c r="A8" s="427"/>
      <c r="B8" s="429"/>
      <c r="C8" s="345" t="s">
        <v>397</v>
      </c>
      <c r="D8" s="345" t="s">
        <v>398</v>
      </c>
      <c r="E8" s="429"/>
      <c r="F8" s="345" t="s">
        <v>397</v>
      </c>
      <c r="G8" s="345" t="s">
        <v>398</v>
      </c>
      <c r="H8" s="429"/>
      <c r="I8" s="345" t="s">
        <v>399</v>
      </c>
      <c r="J8" s="345" t="s">
        <v>398</v>
      </c>
      <c r="K8" s="429"/>
      <c r="L8" s="345" t="s">
        <v>397</v>
      </c>
      <c r="M8" s="345" t="s">
        <v>398</v>
      </c>
      <c r="N8" s="429"/>
      <c r="O8" s="345" t="s">
        <v>397</v>
      </c>
      <c r="P8" s="345" t="s">
        <v>398</v>
      </c>
      <c r="Q8" s="429"/>
      <c r="R8" s="345" t="s">
        <v>399</v>
      </c>
      <c r="S8" s="345" t="s">
        <v>398</v>
      </c>
      <c r="T8" s="429"/>
      <c r="U8" s="345" t="s">
        <v>397</v>
      </c>
      <c r="V8" s="345" t="s">
        <v>398</v>
      </c>
      <c r="W8" s="429"/>
      <c r="X8" s="345" t="s">
        <v>397</v>
      </c>
      <c r="Y8" s="345" t="s">
        <v>398</v>
      </c>
      <c r="Z8" s="429"/>
      <c r="AA8" s="345" t="s">
        <v>399</v>
      </c>
      <c r="AB8" s="347" t="s">
        <v>398</v>
      </c>
    </row>
    <row r="9" spans="1:28" s="361" customFormat="1" ht="10.199999999999999" x14ac:dyDescent="0.3">
      <c r="A9" s="360" t="s">
        <v>13</v>
      </c>
      <c r="B9" s="303">
        <v>1</v>
      </c>
      <c r="C9" s="303">
        <v>2</v>
      </c>
      <c r="D9" s="303">
        <v>3</v>
      </c>
      <c r="E9" s="303">
        <v>1</v>
      </c>
      <c r="F9" s="303">
        <v>2</v>
      </c>
      <c r="G9" s="303">
        <v>3</v>
      </c>
      <c r="H9" s="303">
        <v>4</v>
      </c>
      <c r="I9" s="303">
        <v>5</v>
      </c>
      <c r="J9" s="303">
        <v>6</v>
      </c>
      <c r="K9" s="303">
        <v>10</v>
      </c>
      <c r="L9" s="303">
        <v>11</v>
      </c>
      <c r="M9" s="303">
        <v>12</v>
      </c>
      <c r="N9" s="303">
        <v>7</v>
      </c>
      <c r="O9" s="303">
        <v>8</v>
      </c>
      <c r="P9" s="303">
        <v>9</v>
      </c>
      <c r="Q9" s="303">
        <v>10</v>
      </c>
      <c r="R9" s="303">
        <v>11</v>
      </c>
      <c r="S9" s="303">
        <v>12</v>
      </c>
      <c r="T9" s="303">
        <v>19</v>
      </c>
      <c r="U9" s="303">
        <v>20</v>
      </c>
      <c r="V9" s="303">
        <v>21</v>
      </c>
      <c r="W9" s="303">
        <v>13</v>
      </c>
      <c r="X9" s="303">
        <v>14</v>
      </c>
      <c r="Y9" s="303">
        <v>15</v>
      </c>
      <c r="Z9" s="303">
        <v>16</v>
      </c>
      <c r="AA9" s="303">
        <v>17</v>
      </c>
      <c r="AB9" s="271">
        <v>18</v>
      </c>
    </row>
    <row r="10" spans="1:28" x14ac:dyDescent="0.3">
      <c r="A10" s="362" t="s">
        <v>163</v>
      </c>
      <c r="B10" s="34">
        <f>[1]Черн!F7</f>
        <v>67723.785499999998</v>
      </c>
      <c r="C10" s="34">
        <f>[1]Черн!G7</f>
        <v>0</v>
      </c>
      <c r="D10" s="34">
        <f>[1]Черн!H7</f>
        <v>67723.785499999998</v>
      </c>
      <c r="E10" s="34">
        <f>[1]Черн!M7</f>
        <v>6327.60826</v>
      </c>
      <c r="F10" s="34">
        <f>[1]Черн!N7</f>
        <v>0</v>
      </c>
      <c r="G10" s="34">
        <f>[1]Черн!O7</f>
        <v>6327.60826</v>
      </c>
      <c r="H10" s="353">
        <f>E10/B10%</f>
        <v>9.3432583741202713</v>
      </c>
      <c r="I10" s="34"/>
      <c r="J10" s="34">
        <f t="shared" ref="J10:J38" si="0">G10/D10%</f>
        <v>9.3432583741202713</v>
      </c>
      <c r="K10" s="34">
        <f>[1]Черн!T7</f>
        <v>28946.956489999997</v>
      </c>
      <c r="L10" s="34">
        <f>[1]Черн!U7</f>
        <v>0</v>
      </c>
      <c r="M10" s="34">
        <f>[1]Черн!V7</f>
        <v>28946.956489999997</v>
      </c>
      <c r="N10" s="34">
        <f>[1]Черн!AA7</f>
        <v>2050.4021299999999</v>
      </c>
      <c r="O10" s="34">
        <f>[1]Черн!AB7</f>
        <v>0</v>
      </c>
      <c r="P10" s="34">
        <f>[1]Черн!AC7</f>
        <v>2050.4021299999999</v>
      </c>
      <c r="Q10" s="353">
        <f>N10/K10%</f>
        <v>7.0833081561038416</v>
      </c>
      <c r="R10" s="34"/>
      <c r="S10" s="34">
        <f t="shared" ref="S10:S38" si="1">P10/M10%</f>
        <v>7.0833081561038416</v>
      </c>
      <c r="T10" s="34">
        <f>[1]Черн!AH7</f>
        <v>38776.829010000001</v>
      </c>
      <c r="U10" s="34">
        <f>[1]Черн!AI7</f>
        <v>0</v>
      </c>
      <c r="V10" s="34">
        <f>[1]Черн!AJ7</f>
        <v>38776.829010000001</v>
      </c>
      <c r="W10" s="34">
        <f>[1]Черн!AO7</f>
        <v>4277.2061299999996</v>
      </c>
      <c r="X10" s="34">
        <f>[1]Черн!AP7</f>
        <v>0</v>
      </c>
      <c r="Y10" s="34">
        <f>[1]Черн!AQ7</f>
        <v>4277.2061299999996</v>
      </c>
      <c r="Z10" s="34">
        <f>W10/T10%</f>
        <v>11.030314337711751</v>
      </c>
      <c r="AA10" s="34"/>
      <c r="AB10" s="50">
        <f t="shared" ref="AB10:AB38" si="2">Y10/V10%</f>
        <v>11.030314337711751</v>
      </c>
    </row>
    <row r="11" spans="1:28" x14ac:dyDescent="0.3">
      <c r="A11" s="362" t="s">
        <v>164</v>
      </c>
      <c r="B11" s="34">
        <f>[1]Черн!F8</f>
        <v>64427.409</v>
      </c>
      <c r="C11" s="34">
        <f>[1]Черн!G8</f>
        <v>42841.68</v>
      </c>
      <c r="D11" s="34">
        <f>[1]Черн!H8</f>
        <v>21585.728999999999</v>
      </c>
      <c r="E11" s="34">
        <f>[1]Черн!M8</f>
        <v>21585.728999999999</v>
      </c>
      <c r="F11" s="34">
        <f>[1]Черн!N8</f>
        <v>0</v>
      </c>
      <c r="G11" s="34">
        <f>[1]Черн!O8</f>
        <v>21585.728999999999</v>
      </c>
      <c r="H11" s="34">
        <f t="shared" ref="H11:I38" si="3">E11/B11%</f>
        <v>33.503953263121289</v>
      </c>
      <c r="I11" s="34">
        <f t="shared" si="3"/>
        <v>0</v>
      </c>
      <c r="J11" s="34">
        <f t="shared" si="0"/>
        <v>100</v>
      </c>
      <c r="K11" s="34">
        <f>[1]Черн!T8</f>
        <v>28063.696050000002</v>
      </c>
      <c r="L11" s="34">
        <f>[1]Черн!U8</f>
        <v>23322.692190000002</v>
      </c>
      <c r="M11" s="34">
        <f>[1]Черн!V8</f>
        <v>4741.0038600000007</v>
      </c>
      <c r="N11" s="34">
        <f>[1]Черн!AA8</f>
        <v>4741.0038600000007</v>
      </c>
      <c r="O11" s="34">
        <f>[1]Черн!AB8</f>
        <v>0</v>
      </c>
      <c r="P11" s="34">
        <f>[1]Черн!AC8</f>
        <v>4741.0038600000007</v>
      </c>
      <c r="Q11" s="34">
        <f t="shared" ref="Q11:R38" si="4">N11/K11%</f>
        <v>16.893725799884439</v>
      </c>
      <c r="R11" s="34">
        <f t="shared" si="4"/>
        <v>0</v>
      </c>
      <c r="S11" s="34">
        <f t="shared" si="1"/>
        <v>100</v>
      </c>
      <c r="T11" s="34">
        <f>[1]Черн!AH8</f>
        <v>36363.712950000001</v>
      </c>
      <c r="U11" s="34">
        <f>[1]Черн!AI8</f>
        <v>19518.987809999999</v>
      </c>
      <c r="V11" s="34">
        <f>[1]Черн!AJ8</f>
        <v>16844.725140000002</v>
      </c>
      <c r="W11" s="34">
        <f>[1]Черн!AO8</f>
        <v>16844.725140000002</v>
      </c>
      <c r="X11" s="34">
        <f>[1]Черн!AP8</f>
        <v>0</v>
      </c>
      <c r="Y11" s="34">
        <f>[1]Черн!AQ8</f>
        <v>16844.725140000002</v>
      </c>
      <c r="Z11" s="34">
        <f t="shared" ref="Z11:AA38" si="5">W11/T11%</f>
        <v>46.32289657318946</v>
      </c>
      <c r="AA11" s="34">
        <f t="shared" si="5"/>
        <v>0</v>
      </c>
      <c r="AB11" s="50">
        <f t="shared" si="2"/>
        <v>100</v>
      </c>
    </row>
    <row r="12" spans="1:28" x14ac:dyDescent="0.3">
      <c r="A12" s="362" t="s">
        <v>165</v>
      </c>
      <c r="B12" s="34">
        <f>[1]Черн!F9</f>
        <v>1318</v>
      </c>
      <c r="C12" s="34">
        <f>[1]Черн!G9</f>
        <v>1268</v>
      </c>
      <c r="D12" s="34">
        <f>[1]Черн!H9</f>
        <v>50</v>
      </c>
      <c r="E12" s="34">
        <f>[1]Черн!M9</f>
        <v>2.1816900000000001</v>
      </c>
      <c r="F12" s="34">
        <f>[1]Черн!N9</f>
        <v>2.1816900000000001</v>
      </c>
      <c r="G12" s="34">
        <f>[1]Черн!O9</f>
        <v>0</v>
      </c>
      <c r="H12" s="353">
        <f t="shared" si="3"/>
        <v>0.16553034901365707</v>
      </c>
      <c r="I12" s="34">
        <f t="shared" si="3"/>
        <v>0.17205757097791799</v>
      </c>
      <c r="J12" s="34">
        <f t="shared" si="0"/>
        <v>0</v>
      </c>
      <c r="K12" s="34">
        <f>[1]Черн!T9</f>
        <v>50</v>
      </c>
      <c r="L12" s="34">
        <f>[1]Черн!U9</f>
        <v>0</v>
      </c>
      <c r="M12" s="34">
        <f>[1]Черн!V9</f>
        <v>50</v>
      </c>
      <c r="N12" s="34">
        <f>[1]Черн!AA9</f>
        <v>0</v>
      </c>
      <c r="O12" s="34">
        <f>[1]Черн!AB9</f>
        <v>0</v>
      </c>
      <c r="P12" s="34">
        <f>[1]Черн!AC9</f>
        <v>0</v>
      </c>
      <c r="Q12" s="34">
        <f t="shared" si="4"/>
        <v>0</v>
      </c>
      <c r="R12" s="34"/>
      <c r="S12" s="34">
        <f t="shared" si="1"/>
        <v>0</v>
      </c>
      <c r="T12" s="34">
        <f>[1]Черн!AH9</f>
        <v>1268</v>
      </c>
      <c r="U12" s="34">
        <f>[1]Черн!AI9</f>
        <v>1268</v>
      </c>
      <c r="V12" s="34">
        <f>[1]Черн!AJ9</f>
        <v>0</v>
      </c>
      <c r="W12" s="34">
        <f>[1]Черн!AO9</f>
        <v>2.1816900000000001</v>
      </c>
      <c r="X12" s="34">
        <f>[1]Черн!AP9</f>
        <v>2.1816900000000001</v>
      </c>
      <c r="Y12" s="34">
        <f>[1]Черн!AQ9</f>
        <v>0</v>
      </c>
      <c r="Z12" s="353">
        <f t="shared" si="5"/>
        <v>0.17205757097791799</v>
      </c>
      <c r="AA12" s="34">
        <f t="shared" si="5"/>
        <v>0.17205757097791799</v>
      </c>
      <c r="AB12" s="50"/>
    </row>
    <row r="13" spans="1:28" x14ac:dyDescent="0.3">
      <c r="A13" s="362" t="s">
        <v>166</v>
      </c>
      <c r="B13" s="34">
        <f>[1]Черн!F10</f>
        <v>0</v>
      </c>
      <c r="C13" s="34">
        <f>[1]Черн!G10</f>
        <v>0</v>
      </c>
      <c r="D13" s="34">
        <f>[1]Черн!H10</f>
        <v>0</v>
      </c>
      <c r="E13" s="34">
        <f>[1]Черн!M10</f>
        <v>0</v>
      </c>
      <c r="F13" s="34">
        <f>[1]Черн!N10</f>
        <v>0</v>
      </c>
      <c r="G13" s="34">
        <f>[1]Черн!O10</f>
        <v>0</v>
      </c>
      <c r="H13" s="34"/>
      <c r="I13" s="34"/>
      <c r="J13" s="34"/>
      <c r="K13" s="34">
        <f>[1]Черн!T10</f>
        <v>0</v>
      </c>
      <c r="L13" s="34">
        <f>[1]Черн!U10</f>
        <v>0</v>
      </c>
      <c r="M13" s="34">
        <f>[1]Черн!V10</f>
        <v>0</v>
      </c>
      <c r="N13" s="34">
        <f>[1]Черн!AA10</f>
        <v>0</v>
      </c>
      <c r="O13" s="34">
        <f>[1]Черн!AB10</f>
        <v>0</v>
      </c>
      <c r="P13" s="34">
        <f>[1]Черн!AC10</f>
        <v>0</v>
      </c>
      <c r="Q13" s="34"/>
      <c r="R13" s="34"/>
      <c r="S13" s="34"/>
      <c r="T13" s="34">
        <f>[1]Черн!AH10</f>
        <v>0</v>
      </c>
      <c r="U13" s="34">
        <f>[1]Черн!AI10</f>
        <v>0</v>
      </c>
      <c r="V13" s="34">
        <f>[1]Черн!AJ10</f>
        <v>0</v>
      </c>
      <c r="W13" s="34">
        <f>[1]Черн!AO10</f>
        <v>0</v>
      </c>
      <c r="X13" s="34">
        <f>[1]Черн!AP10</f>
        <v>0</v>
      </c>
      <c r="Y13" s="34">
        <f>[1]Черн!AQ10</f>
        <v>0</v>
      </c>
      <c r="Z13" s="34"/>
      <c r="AA13" s="34"/>
      <c r="AB13" s="50"/>
    </row>
    <row r="14" spans="1:28" x14ac:dyDescent="0.3">
      <c r="A14" s="362" t="s">
        <v>167</v>
      </c>
      <c r="B14" s="34">
        <f>[1]Черн!F11</f>
        <v>31028.909259999997</v>
      </c>
      <c r="C14" s="34">
        <f>[1]Черн!G11</f>
        <v>14919.692999999999</v>
      </c>
      <c r="D14" s="34">
        <f>[1]Черн!H11</f>
        <v>16109.216259999999</v>
      </c>
      <c r="E14" s="34">
        <f>[1]Черн!M11</f>
        <v>31028.909259999997</v>
      </c>
      <c r="F14" s="34">
        <f>[1]Черн!N11</f>
        <v>14919.692999999999</v>
      </c>
      <c r="G14" s="34">
        <f>[1]Черн!O11</f>
        <v>16109.216259999999</v>
      </c>
      <c r="H14" s="353">
        <f t="shared" si="3"/>
        <v>100</v>
      </c>
      <c r="I14" s="34">
        <f t="shared" si="3"/>
        <v>100.00000000000001</v>
      </c>
      <c r="J14" s="34">
        <f t="shared" si="0"/>
        <v>100</v>
      </c>
      <c r="K14" s="34">
        <f>[1]Черн!T11</f>
        <v>31028.909259999997</v>
      </c>
      <c r="L14" s="34">
        <f>[1]Черн!U11</f>
        <v>14919.692999999999</v>
      </c>
      <c r="M14" s="34">
        <f>[1]Черн!V11</f>
        <v>16109.216259999999</v>
      </c>
      <c r="N14" s="34">
        <f>[1]Черн!AA11</f>
        <v>31028.909259999997</v>
      </c>
      <c r="O14" s="34">
        <f>[1]Черн!AB11</f>
        <v>14919.692999999999</v>
      </c>
      <c r="P14" s="34">
        <f>[1]Черн!AC11</f>
        <v>16109.216259999999</v>
      </c>
      <c r="Q14" s="353">
        <f t="shared" si="4"/>
        <v>100</v>
      </c>
      <c r="R14" s="34">
        <f t="shared" si="4"/>
        <v>100.00000000000001</v>
      </c>
      <c r="S14" s="34">
        <f t="shared" si="1"/>
        <v>100</v>
      </c>
      <c r="T14" s="34">
        <f>[1]Черн!AH11</f>
        <v>0</v>
      </c>
      <c r="U14" s="34">
        <f>[1]Черн!AI11</f>
        <v>0</v>
      </c>
      <c r="V14" s="34">
        <f>[1]Черн!AJ11</f>
        <v>0</v>
      </c>
      <c r="W14" s="34">
        <f>[1]Черн!AO11</f>
        <v>0</v>
      </c>
      <c r="X14" s="34">
        <f>[1]Черн!AP11</f>
        <v>0</v>
      </c>
      <c r="Y14" s="34">
        <f>[1]Черн!AQ11</f>
        <v>0</v>
      </c>
      <c r="Z14" s="34"/>
      <c r="AA14" s="34"/>
      <c r="AB14" s="50"/>
    </row>
    <row r="15" spans="1:28" x14ac:dyDescent="0.3">
      <c r="A15" s="362" t="s">
        <v>168</v>
      </c>
      <c r="B15" s="34">
        <f>[1]Черн!F12</f>
        <v>144039.00922000001</v>
      </c>
      <c r="C15" s="34">
        <f>[1]Черн!G12</f>
        <v>0</v>
      </c>
      <c r="D15" s="34">
        <f>[1]Черн!H12</f>
        <v>144039.00922000001</v>
      </c>
      <c r="E15" s="34">
        <f>[1]Черн!M12</f>
        <v>139250.42729000002</v>
      </c>
      <c r="F15" s="34">
        <f>[1]Черн!N12</f>
        <v>0</v>
      </c>
      <c r="G15" s="34">
        <f>[1]Черн!O12</f>
        <v>139250.42729000002</v>
      </c>
      <c r="H15" s="353">
        <f t="shared" si="3"/>
        <v>96.675496481174719</v>
      </c>
      <c r="I15" s="34"/>
      <c r="J15" s="34">
        <f t="shared" si="0"/>
        <v>96.675496481174719</v>
      </c>
      <c r="K15" s="34">
        <f>[1]Черн!T12</f>
        <v>111388.45064</v>
      </c>
      <c r="L15" s="34">
        <f>[1]Черн!U12</f>
        <v>0</v>
      </c>
      <c r="M15" s="34">
        <f>[1]Черн!V12</f>
        <v>111388.45064</v>
      </c>
      <c r="N15" s="34">
        <f>[1]Черн!AA12</f>
        <v>108884.08149</v>
      </c>
      <c r="O15" s="34">
        <f>[1]Черн!AB12</f>
        <v>0</v>
      </c>
      <c r="P15" s="34">
        <f>[1]Черн!AC12</f>
        <v>108884.08149</v>
      </c>
      <c r="Q15" s="353">
        <f t="shared" si="4"/>
        <v>97.75167969784053</v>
      </c>
      <c r="R15" s="34"/>
      <c r="S15" s="34">
        <f t="shared" si="1"/>
        <v>97.75167969784053</v>
      </c>
      <c r="T15" s="34">
        <f>[1]Черн!AH12</f>
        <v>32650.558579999997</v>
      </c>
      <c r="U15" s="34">
        <f>[1]Черн!AI12</f>
        <v>0</v>
      </c>
      <c r="V15" s="34">
        <f>[1]Черн!AJ12</f>
        <v>32650.558579999997</v>
      </c>
      <c r="W15" s="34">
        <f>[1]Черн!AO12</f>
        <v>30366.345799999996</v>
      </c>
      <c r="X15" s="34">
        <f>[1]Черн!AP12</f>
        <v>0</v>
      </c>
      <c r="Y15" s="34">
        <f>[1]Черн!AQ12</f>
        <v>30366.345799999996</v>
      </c>
      <c r="Z15" s="353">
        <f t="shared" si="5"/>
        <v>93.004062168176233</v>
      </c>
      <c r="AA15" s="34"/>
      <c r="AB15" s="50">
        <f t="shared" si="2"/>
        <v>93.004062168176233</v>
      </c>
    </row>
    <row r="16" spans="1:28" x14ac:dyDescent="0.3">
      <c r="A16" s="362" t="s">
        <v>169</v>
      </c>
      <c r="B16" s="34">
        <f>[1]Черн!F13</f>
        <v>24708.759600000001</v>
      </c>
      <c r="C16" s="34">
        <f>[1]Черн!G13</f>
        <v>0</v>
      </c>
      <c r="D16" s="34">
        <f>[1]Черн!H13</f>
        <v>24708.759600000001</v>
      </c>
      <c r="E16" s="34">
        <f>[1]Черн!M13</f>
        <v>6.98</v>
      </c>
      <c r="F16" s="34">
        <f>[1]Черн!N13</f>
        <v>0</v>
      </c>
      <c r="G16" s="34">
        <f>[1]Черн!O13</f>
        <v>6.98</v>
      </c>
      <c r="H16" s="34">
        <f t="shared" si="3"/>
        <v>2.8249091063235726E-2</v>
      </c>
      <c r="I16" s="34"/>
      <c r="J16" s="34">
        <f t="shared" si="0"/>
        <v>2.8249091063235726E-2</v>
      </c>
      <c r="K16" s="34">
        <f>[1]Черн!T13</f>
        <v>16088.700710000001</v>
      </c>
      <c r="L16" s="34">
        <f>[1]Черн!U13</f>
        <v>0</v>
      </c>
      <c r="M16" s="34">
        <f>[1]Черн!V13</f>
        <v>16088.700710000001</v>
      </c>
      <c r="N16" s="34">
        <f>[1]Черн!AA13</f>
        <v>0</v>
      </c>
      <c r="O16" s="34">
        <f>[1]Черн!AB13</f>
        <v>0</v>
      </c>
      <c r="P16" s="34">
        <f>[1]Черн!AC13</f>
        <v>0</v>
      </c>
      <c r="Q16" s="34">
        <f t="shared" si="4"/>
        <v>0</v>
      </c>
      <c r="R16" s="34"/>
      <c r="S16" s="34">
        <f t="shared" si="1"/>
        <v>0</v>
      </c>
      <c r="T16" s="34">
        <f>[1]Черн!AH13</f>
        <v>8620.0588900000002</v>
      </c>
      <c r="U16" s="34">
        <f>[1]Черн!AI13</f>
        <v>0</v>
      </c>
      <c r="V16" s="34">
        <f>[1]Черн!AJ13</f>
        <v>8620.0588900000002</v>
      </c>
      <c r="W16" s="34">
        <f>[1]Черн!AO13</f>
        <v>6.98</v>
      </c>
      <c r="X16" s="34">
        <f>[1]Черн!AP13</f>
        <v>0</v>
      </c>
      <c r="Y16" s="34">
        <f>[1]Черн!AQ13</f>
        <v>6.98</v>
      </c>
      <c r="Z16" s="353">
        <f t="shared" si="5"/>
        <v>8.0973924761667149E-2</v>
      </c>
      <c r="AA16" s="34"/>
      <c r="AB16" s="50">
        <f t="shared" si="2"/>
        <v>8.0973924761667149E-2</v>
      </c>
    </row>
    <row r="17" spans="1:28" x14ac:dyDescent="0.3">
      <c r="A17" s="362" t="s">
        <v>170</v>
      </c>
      <c r="B17" s="34">
        <f>[1]Черн!F14</f>
        <v>0</v>
      </c>
      <c r="C17" s="34">
        <f>[1]Черн!G14</f>
        <v>0</v>
      </c>
      <c r="D17" s="34">
        <f>[1]Черн!H14</f>
        <v>0</v>
      </c>
      <c r="E17" s="34">
        <f>[1]Черн!M14</f>
        <v>0</v>
      </c>
      <c r="F17" s="34">
        <f>[1]Черн!N14</f>
        <v>0</v>
      </c>
      <c r="G17" s="34">
        <f>[1]Черн!O14</f>
        <v>0</v>
      </c>
      <c r="H17" s="34"/>
      <c r="I17" s="34"/>
      <c r="J17" s="34"/>
      <c r="K17" s="34">
        <f>[1]Черн!T14</f>
        <v>0</v>
      </c>
      <c r="L17" s="34">
        <f>[1]Черн!U14</f>
        <v>0</v>
      </c>
      <c r="M17" s="34">
        <f>[1]Черн!V14</f>
        <v>0</v>
      </c>
      <c r="N17" s="34">
        <f>[1]Черн!AA14</f>
        <v>0</v>
      </c>
      <c r="O17" s="34">
        <f>[1]Черн!AB14</f>
        <v>0</v>
      </c>
      <c r="P17" s="34">
        <f>[1]Черн!AC14</f>
        <v>0</v>
      </c>
      <c r="Q17" s="34"/>
      <c r="R17" s="34"/>
      <c r="S17" s="34"/>
      <c r="T17" s="34">
        <f>[1]Черн!AH14</f>
        <v>0</v>
      </c>
      <c r="U17" s="34">
        <f>[1]Черн!AI14</f>
        <v>0</v>
      </c>
      <c r="V17" s="34">
        <f>[1]Черн!AJ14</f>
        <v>0</v>
      </c>
      <c r="W17" s="34">
        <f>[1]Черн!AO14</f>
        <v>0</v>
      </c>
      <c r="X17" s="34">
        <f>[1]Черн!AP14</f>
        <v>0</v>
      </c>
      <c r="Y17" s="34">
        <f>[1]Черн!AQ14</f>
        <v>0</v>
      </c>
      <c r="Z17" s="34"/>
      <c r="AA17" s="34"/>
      <c r="AB17" s="50"/>
    </row>
    <row r="18" spans="1:28" x14ac:dyDescent="0.3">
      <c r="A18" s="362" t="s">
        <v>171</v>
      </c>
      <c r="B18" s="34">
        <f>[1]Черн!F15</f>
        <v>23986.14183</v>
      </c>
      <c r="C18" s="34">
        <f>[1]Черн!G15</f>
        <v>21491.161800000002</v>
      </c>
      <c r="D18" s="34">
        <f>[1]Черн!H15</f>
        <v>2494.9800299999997</v>
      </c>
      <c r="E18" s="34">
        <f>[1]Черн!M15</f>
        <v>2616.2944400000001</v>
      </c>
      <c r="F18" s="34">
        <f>[1]Черн!N15</f>
        <v>121.31441000000001</v>
      </c>
      <c r="G18" s="34">
        <f>[1]Черн!O15</f>
        <v>2494.9800299999997</v>
      </c>
      <c r="H18" s="34">
        <f t="shared" si="3"/>
        <v>10.907525097378281</v>
      </c>
      <c r="I18" s="34">
        <f t="shared" si="3"/>
        <v>0.56448511778455834</v>
      </c>
      <c r="J18" s="34">
        <f t="shared" si="0"/>
        <v>100</v>
      </c>
      <c r="K18" s="34">
        <f>[1]Черн!T15</f>
        <v>5160.5519100000001</v>
      </c>
      <c r="L18" s="34">
        <f>[1]Черн!U15</f>
        <v>4377.3770500000001</v>
      </c>
      <c r="M18" s="34">
        <f>[1]Черн!V15</f>
        <v>783.17485999999997</v>
      </c>
      <c r="N18" s="34">
        <f>[1]Черн!AA15</f>
        <v>783.17485999999997</v>
      </c>
      <c r="O18" s="34">
        <f>[1]Черн!AB15</f>
        <v>0</v>
      </c>
      <c r="P18" s="34">
        <f>[1]Черн!AC15</f>
        <v>783.17485999999997</v>
      </c>
      <c r="Q18" s="34">
        <f t="shared" si="4"/>
        <v>15.176184130274546</v>
      </c>
      <c r="R18" s="34">
        <f t="shared" si="4"/>
        <v>0</v>
      </c>
      <c r="S18" s="34">
        <f t="shared" si="1"/>
        <v>100</v>
      </c>
      <c r="T18" s="34">
        <f>[1]Черн!AH15</f>
        <v>18825.589920000002</v>
      </c>
      <c r="U18" s="34">
        <f>[1]Черн!AI15</f>
        <v>17113.784749999999</v>
      </c>
      <c r="V18" s="34">
        <f>[1]Черн!AJ15</f>
        <v>1711.8051699999999</v>
      </c>
      <c r="W18" s="34">
        <f>[1]Черн!AO15</f>
        <v>1833.1195799999998</v>
      </c>
      <c r="X18" s="34">
        <f>[1]Черн!AP15</f>
        <v>121.31441000000001</v>
      </c>
      <c r="Y18" s="34">
        <f>[1]Черн!AQ15</f>
        <v>1711.8051699999999</v>
      </c>
      <c r="Z18" s="353">
        <f t="shared" si="5"/>
        <v>9.7373818711121682</v>
      </c>
      <c r="AA18" s="34">
        <f t="shared" si="5"/>
        <v>0.70886955616290559</v>
      </c>
      <c r="AB18" s="50">
        <f t="shared" si="2"/>
        <v>100</v>
      </c>
    </row>
    <row r="19" spans="1:28" x14ac:dyDescent="0.3">
      <c r="A19" s="362" t="s">
        <v>172</v>
      </c>
      <c r="B19" s="34">
        <f>[1]Черн!F16</f>
        <v>0</v>
      </c>
      <c r="C19" s="34">
        <f>[1]Черн!G16</f>
        <v>0</v>
      </c>
      <c r="D19" s="34">
        <f>[1]Черн!H16</f>
        <v>0</v>
      </c>
      <c r="E19" s="34">
        <f>[1]Черн!M16</f>
        <v>0</v>
      </c>
      <c r="F19" s="34">
        <f>[1]Черн!N16</f>
        <v>0</v>
      </c>
      <c r="G19" s="34">
        <f>[1]Черн!O16</f>
        <v>0</v>
      </c>
      <c r="H19" s="34"/>
      <c r="I19" s="34"/>
      <c r="J19" s="34"/>
      <c r="K19" s="34">
        <f>[1]Черн!T16</f>
        <v>0</v>
      </c>
      <c r="L19" s="34">
        <f>[1]Черн!U16</f>
        <v>0</v>
      </c>
      <c r="M19" s="34">
        <f>[1]Черн!V16</f>
        <v>0</v>
      </c>
      <c r="N19" s="34">
        <f>[1]Черн!AA16</f>
        <v>0</v>
      </c>
      <c r="O19" s="34">
        <f>[1]Черн!AB16</f>
        <v>0</v>
      </c>
      <c r="P19" s="34">
        <f>[1]Черн!AC16</f>
        <v>0</v>
      </c>
      <c r="Q19" s="34"/>
      <c r="R19" s="34"/>
      <c r="S19" s="34"/>
      <c r="T19" s="34">
        <f>[1]Черн!AH16</f>
        <v>0</v>
      </c>
      <c r="U19" s="34">
        <f>[1]Черн!AI16</f>
        <v>0</v>
      </c>
      <c r="V19" s="34">
        <f>[1]Черн!AJ16</f>
        <v>0</v>
      </c>
      <c r="W19" s="34">
        <f>[1]Черн!AO16</f>
        <v>0</v>
      </c>
      <c r="X19" s="34">
        <f>[1]Черн!AP16</f>
        <v>0</v>
      </c>
      <c r="Y19" s="34">
        <f>[1]Черн!AQ16</f>
        <v>0</v>
      </c>
      <c r="Z19" s="34"/>
      <c r="AA19" s="34"/>
      <c r="AB19" s="50"/>
    </row>
    <row r="20" spans="1:28" x14ac:dyDescent="0.3">
      <c r="A20" s="362" t="s">
        <v>173</v>
      </c>
      <c r="B20" s="34">
        <f>[1]Черн!F17</f>
        <v>0</v>
      </c>
      <c r="C20" s="34">
        <f>[1]Черн!G17</f>
        <v>0</v>
      </c>
      <c r="D20" s="34">
        <f>[1]Черн!H17</f>
        <v>0</v>
      </c>
      <c r="E20" s="34">
        <f>[1]Черн!M17</f>
        <v>0</v>
      </c>
      <c r="F20" s="34">
        <f>[1]Черн!N17</f>
        <v>0</v>
      </c>
      <c r="G20" s="34">
        <f>[1]Черн!O17</f>
        <v>0</v>
      </c>
      <c r="H20" s="34"/>
      <c r="I20" s="34"/>
      <c r="J20" s="34"/>
      <c r="K20" s="34">
        <f>[1]Черн!T17</f>
        <v>0</v>
      </c>
      <c r="L20" s="34">
        <f>[1]Черн!U17</f>
        <v>0</v>
      </c>
      <c r="M20" s="34">
        <f>[1]Черн!V17</f>
        <v>0</v>
      </c>
      <c r="N20" s="34">
        <f>[1]Черн!AA17</f>
        <v>0</v>
      </c>
      <c r="O20" s="34">
        <f>[1]Черн!AB17</f>
        <v>0</v>
      </c>
      <c r="P20" s="34">
        <f>[1]Черн!AC17</f>
        <v>0</v>
      </c>
      <c r="Q20" s="34"/>
      <c r="R20" s="34"/>
      <c r="S20" s="34"/>
      <c r="T20" s="34">
        <f>[1]Черн!AH17</f>
        <v>0</v>
      </c>
      <c r="U20" s="34">
        <f>[1]Черн!AI17</f>
        <v>0</v>
      </c>
      <c r="V20" s="34">
        <f>[1]Черн!AJ17</f>
        <v>0</v>
      </c>
      <c r="W20" s="34">
        <f>[1]Черн!AO17</f>
        <v>0</v>
      </c>
      <c r="X20" s="34">
        <f>[1]Черн!AP17</f>
        <v>0</v>
      </c>
      <c r="Y20" s="34">
        <f>[1]Черн!AQ17</f>
        <v>0</v>
      </c>
      <c r="Z20" s="34"/>
      <c r="AA20" s="34"/>
      <c r="AB20" s="50"/>
    </row>
    <row r="21" spans="1:28" x14ac:dyDescent="0.3">
      <c r="A21" s="362" t="s">
        <v>174</v>
      </c>
      <c r="B21" s="34">
        <f>[1]Черн!F18</f>
        <v>68984.481189999991</v>
      </c>
      <c r="C21" s="34">
        <f>[1]Черн!G18</f>
        <v>50861.3802</v>
      </c>
      <c r="D21" s="34">
        <f>[1]Черн!H18</f>
        <v>18123.100990000003</v>
      </c>
      <c r="E21" s="34">
        <f>[1]Черн!M18</f>
        <v>13216.70859</v>
      </c>
      <c r="F21" s="34">
        <f>[1]Черн!N18</f>
        <v>0</v>
      </c>
      <c r="G21" s="34">
        <f>[1]Черн!O18</f>
        <v>13216.70859</v>
      </c>
      <c r="H21" s="34">
        <f t="shared" si="3"/>
        <v>19.158959177496715</v>
      </c>
      <c r="I21" s="34">
        <f t="shared" si="3"/>
        <v>0</v>
      </c>
      <c r="J21" s="34">
        <f t="shared" si="0"/>
        <v>72.927412352294112</v>
      </c>
      <c r="K21" s="34">
        <f>[1]Черн!T18</f>
        <v>33360.574929999995</v>
      </c>
      <c r="L21" s="34">
        <f>[1]Черн!U18</f>
        <v>27683.84924</v>
      </c>
      <c r="M21" s="34">
        <f>[1]Черн!V18</f>
        <v>5676.7256899999993</v>
      </c>
      <c r="N21" s="34">
        <f>[1]Черн!AA18</f>
        <v>3468.9657599999996</v>
      </c>
      <c r="O21" s="34">
        <f>[1]Черн!AB18</f>
        <v>0</v>
      </c>
      <c r="P21" s="34">
        <f>[1]Черн!AC18</f>
        <v>3468.9657599999996</v>
      </c>
      <c r="Q21" s="34">
        <f t="shared" si="4"/>
        <v>10.398399210082198</v>
      </c>
      <c r="R21" s="34">
        <f t="shared" si="4"/>
        <v>0</v>
      </c>
      <c r="S21" s="34">
        <f t="shared" si="1"/>
        <v>61.108567675039446</v>
      </c>
      <c r="T21" s="34">
        <f>[1]Черн!AH18</f>
        <v>35623.906259999996</v>
      </c>
      <c r="U21" s="34">
        <f>[1]Черн!AI18</f>
        <v>23177.53096</v>
      </c>
      <c r="V21" s="34">
        <f>[1]Черн!AJ18</f>
        <v>12446.375300000002</v>
      </c>
      <c r="W21" s="34">
        <f>[1]Черн!AO18</f>
        <v>9747.7428299999992</v>
      </c>
      <c r="X21" s="34">
        <f>[1]Черн!AP18</f>
        <v>0</v>
      </c>
      <c r="Y21" s="34">
        <f>[1]Черн!AQ18</f>
        <v>9747.7428299999992</v>
      </c>
      <c r="Z21" s="34">
        <f t="shared" si="5"/>
        <v>27.362925218970641</v>
      </c>
      <c r="AA21" s="34">
        <f t="shared" si="5"/>
        <v>0</v>
      </c>
      <c r="AB21" s="50">
        <f t="shared" si="2"/>
        <v>78.317924657148964</v>
      </c>
    </row>
    <row r="22" spans="1:28" x14ac:dyDescent="0.3">
      <c r="A22" s="362" t="s">
        <v>175</v>
      </c>
      <c r="B22" s="34">
        <f>[1]Черн!F19</f>
        <v>172307.98379999999</v>
      </c>
      <c r="C22" s="34">
        <f>[1]Черн!G19</f>
        <v>25940.41747</v>
      </c>
      <c r="D22" s="34">
        <f>[1]Черн!H19</f>
        <v>146367.56632999997</v>
      </c>
      <c r="E22" s="34">
        <f>[1]Черн!M19</f>
        <v>42786.137740000013</v>
      </c>
      <c r="F22" s="34">
        <f>[1]Черн!N19</f>
        <v>925.70406000000003</v>
      </c>
      <c r="G22" s="34">
        <f>[1]Черн!O19</f>
        <v>41860.433680000009</v>
      </c>
      <c r="H22" s="34">
        <f t="shared" si="3"/>
        <v>24.831198645828515</v>
      </c>
      <c r="I22" s="34">
        <f t="shared" si="3"/>
        <v>3.5685781120160209</v>
      </c>
      <c r="J22" s="34">
        <f t="shared" si="0"/>
        <v>28.599528385695486</v>
      </c>
      <c r="K22" s="34">
        <f>[1]Черн!T19</f>
        <v>61428.840929999998</v>
      </c>
      <c r="L22" s="34">
        <f>[1]Черн!U19</f>
        <v>8917.4936500000003</v>
      </c>
      <c r="M22" s="34">
        <f>[1]Черн!V19</f>
        <v>52511.347280000002</v>
      </c>
      <c r="N22" s="34">
        <f>[1]Черн!AA19</f>
        <v>16970.570920000002</v>
      </c>
      <c r="O22" s="34">
        <f>[1]Черн!AB19</f>
        <v>925.70406000000003</v>
      </c>
      <c r="P22" s="34">
        <f>[1]Черн!AC19</f>
        <v>16044.866860000002</v>
      </c>
      <c r="Q22" s="34">
        <f t="shared" si="4"/>
        <v>27.626389596604099</v>
      </c>
      <c r="R22" s="34">
        <f t="shared" si="4"/>
        <v>10.380765003404292</v>
      </c>
      <c r="S22" s="34">
        <f t="shared" si="1"/>
        <v>30.555047034778728</v>
      </c>
      <c r="T22" s="34">
        <f>[1]Черн!AH19</f>
        <v>110879.14287000001</v>
      </c>
      <c r="U22" s="34">
        <f>[1]Черн!AI19</f>
        <v>17022.92382</v>
      </c>
      <c r="V22" s="34">
        <f>[1]Черн!AJ19</f>
        <v>93856.21905</v>
      </c>
      <c r="W22" s="34">
        <f>[1]Черн!AO19</f>
        <v>25815.56682</v>
      </c>
      <c r="X22" s="34">
        <f>[1]Черн!AP19</f>
        <v>0</v>
      </c>
      <c r="Y22" s="34">
        <f>[1]Черн!AQ19</f>
        <v>25815.56682</v>
      </c>
      <c r="Z22" s="34">
        <f t="shared" si="5"/>
        <v>23.282617588654524</v>
      </c>
      <c r="AA22" s="34">
        <f t="shared" si="5"/>
        <v>0</v>
      </c>
      <c r="AB22" s="50">
        <f t="shared" si="2"/>
        <v>27.505440855493315</v>
      </c>
    </row>
    <row r="23" spans="1:28" x14ac:dyDescent="0.3">
      <c r="A23" s="362" t="s">
        <v>176</v>
      </c>
      <c r="B23" s="34">
        <f>[1]Черн!F20</f>
        <v>0</v>
      </c>
      <c r="C23" s="34">
        <f>[1]Черн!G20</f>
        <v>0</v>
      </c>
      <c r="D23" s="34">
        <f>[1]Черн!H20</f>
        <v>0</v>
      </c>
      <c r="E23" s="34">
        <f>[1]Черн!M20</f>
        <v>0</v>
      </c>
      <c r="F23" s="34">
        <f>[1]Черн!N20</f>
        <v>0</v>
      </c>
      <c r="G23" s="34">
        <f>[1]Черн!O20</f>
        <v>0</v>
      </c>
      <c r="H23" s="34"/>
      <c r="I23" s="34"/>
      <c r="J23" s="34"/>
      <c r="K23" s="34">
        <f>[1]Черн!T20</f>
        <v>0</v>
      </c>
      <c r="L23" s="34">
        <f>[1]Черн!U20</f>
        <v>0</v>
      </c>
      <c r="M23" s="34">
        <f>[1]Черн!V20</f>
        <v>0</v>
      </c>
      <c r="N23" s="34">
        <f>[1]Черн!AA20</f>
        <v>0</v>
      </c>
      <c r="O23" s="34">
        <f>[1]Черн!AB20</f>
        <v>0</v>
      </c>
      <c r="P23" s="34">
        <f>[1]Черн!AC20</f>
        <v>0</v>
      </c>
      <c r="Q23" s="34"/>
      <c r="R23" s="34"/>
      <c r="S23" s="34"/>
      <c r="T23" s="34">
        <f>[1]Черн!AH20</f>
        <v>0</v>
      </c>
      <c r="U23" s="34">
        <f>[1]Черн!AI20</f>
        <v>0</v>
      </c>
      <c r="V23" s="34">
        <f>[1]Черн!AJ20</f>
        <v>0</v>
      </c>
      <c r="W23" s="34">
        <f>[1]Черн!AO20</f>
        <v>0</v>
      </c>
      <c r="X23" s="34">
        <f>[1]Черн!AP20</f>
        <v>0</v>
      </c>
      <c r="Y23" s="34">
        <f>[1]Черн!AQ20</f>
        <v>0</v>
      </c>
      <c r="Z23" s="34"/>
      <c r="AA23" s="34"/>
      <c r="AB23" s="50"/>
    </row>
    <row r="24" spans="1:28" x14ac:dyDescent="0.3">
      <c r="A24" s="362" t="s">
        <v>177</v>
      </c>
      <c r="B24" s="34">
        <f>[1]Черн!F21</f>
        <v>115207.768</v>
      </c>
      <c r="C24" s="34">
        <f>[1]Черн!G21</f>
        <v>7191.2820000000002</v>
      </c>
      <c r="D24" s="34">
        <f>[1]Черн!H21</f>
        <v>108016.486</v>
      </c>
      <c r="E24" s="34">
        <f>[1]Черн!M21</f>
        <v>4190.8326999999999</v>
      </c>
      <c r="F24" s="34">
        <f>[1]Черн!N21</f>
        <v>0</v>
      </c>
      <c r="G24" s="34">
        <f>[1]Черн!O21</f>
        <v>4190.8326999999999</v>
      </c>
      <c r="H24" s="353">
        <f t="shared" si="3"/>
        <v>3.637630320205492</v>
      </c>
      <c r="I24" s="34">
        <f t="shared" si="3"/>
        <v>0</v>
      </c>
      <c r="J24" s="34">
        <f t="shared" si="0"/>
        <v>3.8798084025803243</v>
      </c>
      <c r="K24" s="34">
        <f>[1]Черн!T21</f>
        <v>83474.405610000002</v>
      </c>
      <c r="L24" s="34">
        <f>[1]Черн!U21</f>
        <v>5555.9844800000001</v>
      </c>
      <c r="M24" s="34">
        <f>[1]Черн!V21</f>
        <v>77918.421130000002</v>
      </c>
      <c r="N24" s="34">
        <f>[1]Черн!AA21</f>
        <v>917.09225000000004</v>
      </c>
      <c r="O24" s="34">
        <f>[1]Черн!AB21</f>
        <v>0</v>
      </c>
      <c r="P24" s="34">
        <f>[1]Черн!AC21</f>
        <v>917.09225000000004</v>
      </c>
      <c r="Q24" s="353">
        <f t="shared" si="4"/>
        <v>1.0986508299139479</v>
      </c>
      <c r="R24" s="34">
        <f t="shared" si="4"/>
        <v>0</v>
      </c>
      <c r="S24" s="34">
        <f t="shared" si="1"/>
        <v>1.1769902889458099</v>
      </c>
      <c r="T24" s="34">
        <f>[1]Черн!AH21</f>
        <v>31733.362390000002</v>
      </c>
      <c r="U24" s="34">
        <f>[1]Черн!AI21</f>
        <v>1635.2975200000001</v>
      </c>
      <c r="V24" s="34">
        <f>[1]Черн!AJ21</f>
        <v>30098.064870000002</v>
      </c>
      <c r="W24" s="34">
        <f>[1]Черн!AO21</f>
        <v>3273.7404500000002</v>
      </c>
      <c r="X24" s="34">
        <f>[1]Черн!AP21</f>
        <v>0</v>
      </c>
      <c r="Y24" s="34">
        <f>[1]Черн!AQ21</f>
        <v>3273.7404500000002</v>
      </c>
      <c r="Z24" s="34">
        <f t="shared" si="5"/>
        <v>10.316399534868198</v>
      </c>
      <c r="AA24" s="34">
        <f t="shared" si="5"/>
        <v>0</v>
      </c>
      <c r="AB24" s="50">
        <f t="shared" si="2"/>
        <v>10.876913396724964</v>
      </c>
    </row>
    <row r="25" spans="1:28" x14ac:dyDescent="0.3">
      <c r="A25" s="362" t="s">
        <v>178</v>
      </c>
      <c r="B25" s="34">
        <f>[1]Черн!F22</f>
        <v>4495.8379800000002</v>
      </c>
      <c r="C25" s="34">
        <f>[1]Черн!G22</f>
        <v>0</v>
      </c>
      <c r="D25" s="34">
        <f>[1]Черн!H22</f>
        <v>4495.8379800000002</v>
      </c>
      <c r="E25" s="34">
        <f>[1]Черн!M22</f>
        <v>2182.53298</v>
      </c>
      <c r="F25" s="34">
        <f>[1]Черн!N22</f>
        <v>0</v>
      </c>
      <c r="G25" s="34">
        <f>[1]Черн!O22</f>
        <v>2182.53298</v>
      </c>
      <c r="H25" s="34">
        <f t="shared" si="3"/>
        <v>48.545632420677222</v>
      </c>
      <c r="I25" s="34"/>
      <c r="J25" s="34">
        <f t="shared" si="0"/>
        <v>48.545632420677222</v>
      </c>
      <c r="K25" s="34">
        <f>[1]Черн!T22</f>
        <v>2067.0728799999997</v>
      </c>
      <c r="L25" s="34">
        <f>[1]Черн!U22</f>
        <v>0</v>
      </c>
      <c r="M25" s="34">
        <f>[1]Черн!V22</f>
        <v>2067.0728799999997</v>
      </c>
      <c r="N25" s="34">
        <f>[1]Черн!AA22</f>
        <v>279.81344000000001</v>
      </c>
      <c r="O25" s="34">
        <f>[1]Черн!AB22</f>
        <v>0</v>
      </c>
      <c r="P25" s="34">
        <f>[1]Черн!AC22</f>
        <v>279.81344000000001</v>
      </c>
      <c r="Q25" s="34">
        <f t="shared" si="4"/>
        <v>13.536699296253166</v>
      </c>
      <c r="R25" s="34"/>
      <c r="S25" s="34">
        <f t="shared" si="1"/>
        <v>13.536699296253166</v>
      </c>
      <c r="T25" s="34">
        <f>[1]Черн!AH22</f>
        <v>2428.7651000000001</v>
      </c>
      <c r="U25" s="34">
        <f>[1]Черн!AI22</f>
        <v>0</v>
      </c>
      <c r="V25" s="34">
        <f>[1]Черн!AJ22</f>
        <v>2428.7651000000001</v>
      </c>
      <c r="W25" s="34">
        <f>[1]Черн!AO22</f>
        <v>1902.7195400000001</v>
      </c>
      <c r="X25" s="34">
        <f>[1]Черн!AP22</f>
        <v>0</v>
      </c>
      <c r="Y25" s="34">
        <f>[1]Черн!AQ22</f>
        <v>1902.7195400000001</v>
      </c>
      <c r="Z25" s="34">
        <f t="shared" si="5"/>
        <v>78.341027709925513</v>
      </c>
      <c r="AA25" s="34"/>
      <c r="AB25" s="50">
        <f t="shared" si="2"/>
        <v>78.341027709925513</v>
      </c>
    </row>
    <row r="26" spans="1:28" x14ac:dyDescent="0.3">
      <c r="A26" s="362" t="s">
        <v>179</v>
      </c>
      <c r="B26" s="34">
        <f>[1]Черн!F23</f>
        <v>21972.779289999999</v>
      </c>
      <c r="C26" s="34">
        <f>[1]Черн!G23</f>
        <v>0</v>
      </c>
      <c r="D26" s="34">
        <f>[1]Черн!H23</f>
        <v>21972.779289999999</v>
      </c>
      <c r="E26" s="34">
        <f>[1]Черн!M23</f>
        <v>20028.20937</v>
      </c>
      <c r="F26" s="34">
        <f>[1]Черн!N23</f>
        <v>0</v>
      </c>
      <c r="G26" s="34">
        <f>[1]Черн!O23</f>
        <v>20028.20937</v>
      </c>
      <c r="H26" s="353">
        <f t="shared" si="3"/>
        <v>91.150095787450113</v>
      </c>
      <c r="I26" s="34"/>
      <c r="J26" s="34">
        <f t="shared" si="0"/>
        <v>91.150095787450113</v>
      </c>
      <c r="K26" s="34">
        <f>[1]Черн!T23</f>
        <v>7667.47847</v>
      </c>
      <c r="L26" s="34">
        <f>[1]Черн!U23</f>
        <v>0</v>
      </c>
      <c r="M26" s="34">
        <f>[1]Черн!V23</f>
        <v>7667.47847</v>
      </c>
      <c r="N26" s="34">
        <f>[1]Черн!AA23</f>
        <v>7450.5115599999999</v>
      </c>
      <c r="O26" s="34">
        <f>[1]Черн!AB23</f>
        <v>0</v>
      </c>
      <c r="P26" s="34">
        <f>[1]Черн!AC23</f>
        <v>7450.5115599999999</v>
      </c>
      <c r="Q26" s="353">
        <f t="shared" si="4"/>
        <v>97.170296456013389</v>
      </c>
      <c r="R26" s="34"/>
      <c r="S26" s="34">
        <f t="shared" si="1"/>
        <v>97.170296456013389</v>
      </c>
      <c r="T26" s="34">
        <f>[1]Черн!AH23</f>
        <v>14305.30082</v>
      </c>
      <c r="U26" s="34">
        <f>[1]Черн!AI23</f>
        <v>0</v>
      </c>
      <c r="V26" s="34">
        <f>[1]Черн!AJ23</f>
        <v>14305.30082</v>
      </c>
      <c r="W26" s="34">
        <f>[1]Черн!AO23</f>
        <v>12577.69781</v>
      </c>
      <c r="X26" s="34">
        <f>[1]Черн!AP23</f>
        <v>0</v>
      </c>
      <c r="Y26" s="34">
        <f>[1]Черн!AQ23</f>
        <v>12577.69781</v>
      </c>
      <c r="Z26" s="353">
        <f t="shared" si="5"/>
        <v>87.923336728545635</v>
      </c>
      <c r="AA26" s="34"/>
      <c r="AB26" s="50">
        <f t="shared" si="2"/>
        <v>87.923336728545635</v>
      </c>
    </row>
    <row r="27" spans="1:28" x14ac:dyDescent="0.3">
      <c r="A27" s="362" t="s">
        <v>180</v>
      </c>
      <c r="B27" s="34">
        <f>[1]Черн!F24</f>
        <v>171216.49183000001</v>
      </c>
      <c r="C27" s="34">
        <f>[1]Черн!G24</f>
        <v>0</v>
      </c>
      <c r="D27" s="34">
        <f>[1]Черн!H24</f>
        <v>171216.49183000001</v>
      </c>
      <c r="E27" s="34">
        <f>[1]Черн!M24</f>
        <v>43877.322999999997</v>
      </c>
      <c r="F27" s="34">
        <f>[1]Черн!N24</f>
        <v>0</v>
      </c>
      <c r="G27" s="34">
        <f>[1]Черн!O24</f>
        <v>43877.322999999997</v>
      </c>
      <c r="H27" s="34">
        <f t="shared" si="3"/>
        <v>25.626808802720692</v>
      </c>
      <c r="I27" s="34"/>
      <c r="J27" s="34">
        <f t="shared" si="0"/>
        <v>25.626808802720692</v>
      </c>
      <c r="K27" s="34">
        <f>[1]Черн!T24</f>
        <v>89742.427689999997</v>
      </c>
      <c r="L27" s="34">
        <f>[1]Черн!U24</f>
        <v>0</v>
      </c>
      <c r="M27" s="34">
        <f>[1]Черн!V24</f>
        <v>89742.427689999997</v>
      </c>
      <c r="N27" s="34">
        <f>[1]Черн!AA24</f>
        <v>20055.006430000001</v>
      </c>
      <c r="O27" s="34">
        <f>[1]Черн!AB24</f>
        <v>0</v>
      </c>
      <c r="P27" s="34">
        <f>[1]Черн!AC24</f>
        <v>20055.006430000001</v>
      </c>
      <c r="Q27" s="34">
        <f t="shared" si="4"/>
        <v>22.347296530997156</v>
      </c>
      <c r="R27" s="34"/>
      <c r="S27" s="34">
        <f t="shared" si="1"/>
        <v>22.347296530997156</v>
      </c>
      <c r="T27" s="34">
        <f>[1]Черн!AH24</f>
        <v>81474.064140000002</v>
      </c>
      <c r="U27" s="34">
        <f>[1]Черн!AI24</f>
        <v>0</v>
      </c>
      <c r="V27" s="34">
        <f>[1]Черн!AJ24</f>
        <v>81474.064140000002</v>
      </c>
      <c r="W27" s="34">
        <f>[1]Черн!AO24</f>
        <v>23822.316569999999</v>
      </c>
      <c r="X27" s="34">
        <f>[1]Черн!AP24</f>
        <v>0</v>
      </c>
      <c r="Y27" s="34">
        <f>[1]Черн!AQ24</f>
        <v>23822.316569999999</v>
      </c>
      <c r="Z27" s="34">
        <f t="shared" si="5"/>
        <v>29.23914109533704</v>
      </c>
      <c r="AA27" s="34"/>
      <c r="AB27" s="50">
        <f t="shared" si="2"/>
        <v>29.23914109533704</v>
      </c>
    </row>
    <row r="28" spans="1:28" x14ac:dyDescent="0.3">
      <c r="A28" s="362" t="s">
        <v>181</v>
      </c>
      <c r="B28" s="34">
        <f>[1]Черн!F25</f>
        <v>0</v>
      </c>
      <c r="C28" s="34">
        <f>[1]Черн!G25</f>
        <v>0</v>
      </c>
      <c r="D28" s="34">
        <f>[1]Черн!H25</f>
        <v>0</v>
      </c>
      <c r="E28" s="34">
        <f>[1]Черн!M25</f>
        <v>0</v>
      </c>
      <c r="F28" s="34">
        <f>[1]Черн!N25</f>
        <v>0</v>
      </c>
      <c r="G28" s="34">
        <f>[1]Черн!O25</f>
        <v>0</v>
      </c>
      <c r="H28" s="34"/>
      <c r="I28" s="34"/>
      <c r="J28" s="34"/>
      <c r="K28" s="34">
        <f>[1]Черн!T25</f>
        <v>0</v>
      </c>
      <c r="L28" s="34">
        <f>[1]Черн!U25</f>
        <v>0</v>
      </c>
      <c r="M28" s="34">
        <f>[1]Черн!V25</f>
        <v>0</v>
      </c>
      <c r="N28" s="34">
        <f>[1]Черн!AA25</f>
        <v>0</v>
      </c>
      <c r="O28" s="34">
        <f>[1]Черн!AB25</f>
        <v>0</v>
      </c>
      <c r="P28" s="34">
        <f>[1]Черн!AC25</f>
        <v>0</v>
      </c>
      <c r="Q28" s="34"/>
      <c r="R28" s="34"/>
      <c r="S28" s="34"/>
      <c r="T28" s="34">
        <f>[1]Черн!AH25</f>
        <v>0</v>
      </c>
      <c r="U28" s="34">
        <f>[1]Черн!AI25</f>
        <v>0</v>
      </c>
      <c r="V28" s="34">
        <f>[1]Черн!AJ25</f>
        <v>0</v>
      </c>
      <c r="W28" s="34">
        <f>[1]Черн!AO25</f>
        <v>0</v>
      </c>
      <c r="X28" s="34">
        <f>[1]Черн!AP25</f>
        <v>0</v>
      </c>
      <c r="Y28" s="34">
        <f>[1]Черн!AQ25</f>
        <v>0</v>
      </c>
      <c r="Z28" s="34"/>
      <c r="AA28" s="34"/>
      <c r="AB28" s="50"/>
    </row>
    <row r="29" spans="1:28" x14ac:dyDescent="0.3">
      <c r="A29" s="362" t="s">
        <v>182</v>
      </c>
      <c r="B29" s="34">
        <f>[1]Черн!F26</f>
        <v>422.8</v>
      </c>
      <c r="C29" s="34">
        <f>[1]Черн!G26</f>
        <v>422.8</v>
      </c>
      <c r="D29" s="34">
        <f>[1]Черн!H26</f>
        <v>0</v>
      </c>
      <c r="E29" s="34">
        <f>[1]Черн!M26</f>
        <v>271.99090999999999</v>
      </c>
      <c r="F29" s="34">
        <f>[1]Черн!N26</f>
        <v>271.99090999999999</v>
      </c>
      <c r="G29" s="34">
        <f>[1]Черн!O26</f>
        <v>0</v>
      </c>
      <c r="H29" s="34">
        <f t="shared" si="3"/>
        <v>64.330868022705772</v>
      </c>
      <c r="I29" s="34">
        <f t="shared" si="3"/>
        <v>64.330868022705772</v>
      </c>
      <c r="J29" s="34"/>
      <c r="K29" s="34">
        <f>[1]Черн!T26</f>
        <v>0</v>
      </c>
      <c r="L29" s="34">
        <f>[1]Черн!U26</f>
        <v>0</v>
      </c>
      <c r="M29" s="34">
        <f>[1]Черн!V26</f>
        <v>0</v>
      </c>
      <c r="N29" s="34">
        <f>[1]Черн!AA26</f>
        <v>0</v>
      </c>
      <c r="O29" s="34">
        <f>[1]Черн!AB26</f>
        <v>0</v>
      </c>
      <c r="P29" s="34">
        <f>[1]Черн!AC26</f>
        <v>0</v>
      </c>
      <c r="Q29" s="34"/>
      <c r="R29" s="34"/>
      <c r="S29" s="34"/>
      <c r="T29" s="34">
        <f>[1]Черн!AH26</f>
        <v>422.8</v>
      </c>
      <c r="U29" s="34">
        <f>[1]Черн!AI26</f>
        <v>422.8</v>
      </c>
      <c r="V29" s="34">
        <f>[1]Черн!AJ26</f>
        <v>0</v>
      </c>
      <c r="W29" s="34">
        <f>[1]Черн!AO26</f>
        <v>271.99090999999999</v>
      </c>
      <c r="X29" s="34">
        <f>[1]Черн!AP26</f>
        <v>271.99090999999999</v>
      </c>
      <c r="Y29" s="34">
        <f>[1]Черн!AQ26</f>
        <v>0</v>
      </c>
      <c r="Z29" s="34">
        <f t="shared" si="5"/>
        <v>64.330868022705772</v>
      </c>
      <c r="AA29" s="34">
        <f t="shared" si="5"/>
        <v>64.330868022705772</v>
      </c>
      <c r="AB29" s="50"/>
    </row>
    <row r="30" spans="1:28" x14ac:dyDescent="0.3">
      <c r="A30" s="362" t="s">
        <v>183</v>
      </c>
      <c r="B30" s="34">
        <f>[1]Черн!F27</f>
        <v>483723.81116000004</v>
      </c>
      <c r="C30" s="34">
        <f>[1]Черн!G27</f>
        <v>483723.81116000004</v>
      </c>
      <c r="D30" s="34">
        <f>[1]Черн!H27</f>
        <v>0</v>
      </c>
      <c r="E30" s="34">
        <f>[1]Черн!M27</f>
        <v>184146.80071000001</v>
      </c>
      <c r="F30" s="34">
        <f>[1]Черн!N27</f>
        <v>184146.80071000001</v>
      </c>
      <c r="G30" s="34">
        <f>[1]Черн!O27</f>
        <v>0</v>
      </c>
      <c r="H30" s="34">
        <f t="shared" si="3"/>
        <v>38.068583034687592</v>
      </c>
      <c r="I30" s="34">
        <f t="shared" si="3"/>
        <v>38.068583034687592</v>
      </c>
      <c r="J30" s="34"/>
      <c r="K30" s="34">
        <f>[1]Черн!T27</f>
        <v>246702.69394999999</v>
      </c>
      <c r="L30" s="34">
        <f>[1]Черн!U27</f>
        <v>246702.69394999999</v>
      </c>
      <c r="M30" s="34">
        <f>[1]Черн!V27</f>
        <v>0</v>
      </c>
      <c r="N30" s="34">
        <f>[1]Черн!AA27</f>
        <v>76671.522599999997</v>
      </c>
      <c r="O30" s="34">
        <f>[1]Черн!AB27</f>
        <v>76671.522599999997</v>
      </c>
      <c r="P30" s="34">
        <f>[1]Черн!AC27</f>
        <v>0</v>
      </c>
      <c r="Q30" s="34">
        <f t="shared" si="4"/>
        <v>31.078510482556485</v>
      </c>
      <c r="R30" s="34">
        <f t="shared" si="4"/>
        <v>31.078510482556485</v>
      </c>
      <c r="S30" s="34"/>
      <c r="T30" s="34">
        <f>[1]Черн!AH27</f>
        <v>237021.11721</v>
      </c>
      <c r="U30" s="34">
        <f>[1]Черн!AI27</f>
        <v>237021.11721</v>
      </c>
      <c r="V30" s="34">
        <f>[1]Черн!AJ27</f>
        <v>0</v>
      </c>
      <c r="W30" s="34">
        <f>[1]Черн!AO27</f>
        <v>107475.27811</v>
      </c>
      <c r="X30" s="34">
        <f>[1]Черн!AP27</f>
        <v>107475.27811</v>
      </c>
      <c r="Y30" s="34">
        <f>[1]Черн!AQ27</f>
        <v>0</v>
      </c>
      <c r="Z30" s="34">
        <f t="shared" si="5"/>
        <v>45.344178347947462</v>
      </c>
      <c r="AA30" s="34">
        <f t="shared" si="5"/>
        <v>45.344178347947462</v>
      </c>
      <c r="AB30" s="50"/>
    </row>
    <row r="31" spans="1:28" x14ac:dyDescent="0.3">
      <c r="A31" s="362" t="s">
        <v>184</v>
      </c>
      <c r="B31" s="34">
        <f>[1]Черн!F28</f>
        <v>413</v>
      </c>
      <c r="C31" s="34">
        <f>[1]Черн!G28</f>
        <v>413</v>
      </c>
      <c r="D31" s="34">
        <f>[1]Черн!H28</f>
        <v>0</v>
      </c>
      <c r="E31" s="34">
        <f>[1]Черн!M28</f>
        <v>138.74350000000001</v>
      </c>
      <c r="F31" s="34">
        <f>[1]Черн!N28</f>
        <v>138.74350000000001</v>
      </c>
      <c r="G31" s="34">
        <f>[1]Черн!O28</f>
        <v>0</v>
      </c>
      <c r="H31" s="34">
        <f t="shared" si="3"/>
        <v>33.594067796610176</v>
      </c>
      <c r="I31" s="34">
        <f t="shared" si="3"/>
        <v>33.594067796610176</v>
      </c>
      <c r="J31" s="34"/>
      <c r="K31" s="34">
        <f>[1]Черн!T28</f>
        <v>413</v>
      </c>
      <c r="L31" s="34">
        <f>[1]Черн!U28</f>
        <v>413</v>
      </c>
      <c r="M31" s="34">
        <f>[1]Черн!V28</f>
        <v>0</v>
      </c>
      <c r="N31" s="34">
        <f>[1]Черн!AA28</f>
        <v>138.74350000000001</v>
      </c>
      <c r="O31" s="34">
        <f>[1]Черн!AB28</f>
        <v>138.74350000000001</v>
      </c>
      <c r="P31" s="34">
        <f>[1]Черн!AC28</f>
        <v>0</v>
      </c>
      <c r="Q31" s="34">
        <f t="shared" si="4"/>
        <v>33.594067796610176</v>
      </c>
      <c r="R31" s="34">
        <f t="shared" si="4"/>
        <v>33.594067796610176</v>
      </c>
      <c r="S31" s="34"/>
      <c r="T31" s="34">
        <f>[1]Черн!AH28</f>
        <v>0</v>
      </c>
      <c r="U31" s="34">
        <f>[1]Черн!AI28</f>
        <v>0</v>
      </c>
      <c r="V31" s="34">
        <f>[1]Черн!AJ28</f>
        <v>0</v>
      </c>
      <c r="W31" s="34">
        <f>[1]Черн!AO28</f>
        <v>0</v>
      </c>
      <c r="X31" s="34">
        <f>[1]Черн!AP28</f>
        <v>0</v>
      </c>
      <c r="Y31" s="34">
        <f>[1]Черн!AQ28</f>
        <v>0</v>
      </c>
      <c r="Z31" s="34"/>
      <c r="AA31" s="34"/>
      <c r="AB31" s="50"/>
    </row>
    <row r="32" spans="1:28" x14ac:dyDescent="0.3">
      <c r="A32" s="362" t="s">
        <v>185</v>
      </c>
      <c r="B32" s="34">
        <f>[1]Черн!F29</f>
        <v>6914</v>
      </c>
      <c r="C32" s="34">
        <f>[1]Черн!G29</f>
        <v>6914</v>
      </c>
      <c r="D32" s="34">
        <f>[1]Черн!H29</f>
        <v>0</v>
      </c>
      <c r="E32" s="34">
        <f>[1]Черн!M29</f>
        <v>5581.4084999999995</v>
      </c>
      <c r="F32" s="34">
        <f>[1]Черн!N29</f>
        <v>5581.4084999999995</v>
      </c>
      <c r="G32" s="34">
        <f>[1]Черн!O29</f>
        <v>0</v>
      </c>
      <c r="H32" s="353">
        <f t="shared" si="3"/>
        <v>80.72618599942146</v>
      </c>
      <c r="I32" s="34">
        <f t="shared" si="3"/>
        <v>80.72618599942146</v>
      </c>
      <c r="J32" s="34"/>
      <c r="K32" s="34">
        <f>[1]Черн!T29</f>
        <v>0</v>
      </c>
      <c r="L32" s="34">
        <f>[1]Черн!U29</f>
        <v>0</v>
      </c>
      <c r="M32" s="34">
        <f>[1]Черн!V29</f>
        <v>0</v>
      </c>
      <c r="N32" s="34">
        <f>[1]Черн!AA29</f>
        <v>0</v>
      </c>
      <c r="O32" s="34">
        <f>[1]Черн!AB29</f>
        <v>0</v>
      </c>
      <c r="P32" s="34">
        <f>[1]Черн!AC29</f>
        <v>0</v>
      </c>
      <c r="Q32" s="34"/>
      <c r="R32" s="34"/>
      <c r="S32" s="34"/>
      <c r="T32" s="34">
        <f>[1]Черн!AH29</f>
        <v>6914</v>
      </c>
      <c r="U32" s="34">
        <f>[1]Черн!AI29</f>
        <v>6914</v>
      </c>
      <c r="V32" s="34">
        <f>[1]Черн!AJ29</f>
        <v>0</v>
      </c>
      <c r="W32" s="34">
        <f>[1]Черн!AO29</f>
        <v>5581.4084999999995</v>
      </c>
      <c r="X32" s="34">
        <f>[1]Черн!AP29</f>
        <v>5581.4084999999995</v>
      </c>
      <c r="Y32" s="34">
        <f>[1]Черн!AQ29</f>
        <v>0</v>
      </c>
      <c r="Z32" s="34">
        <f t="shared" si="5"/>
        <v>80.72618599942146</v>
      </c>
      <c r="AA32" s="34">
        <f t="shared" si="5"/>
        <v>80.72618599942146</v>
      </c>
      <c r="AB32" s="50"/>
    </row>
    <row r="33" spans="1:28" x14ac:dyDescent="0.3">
      <c r="A33" s="362" t="s">
        <v>186</v>
      </c>
      <c r="B33" s="34">
        <f>[1]Черн!F30</f>
        <v>0</v>
      </c>
      <c r="C33" s="34">
        <f>[1]Черн!G30</f>
        <v>0</v>
      </c>
      <c r="D33" s="34">
        <f>[1]Черн!H30</f>
        <v>0</v>
      </c>
      <c r="E33" s="34">
        <f>[1]Черн!M30</f>
        <v>0</v>
      </c>
      <c r="F33" s="34">
        <f>[1]Черн!N30</f>
        <v>0</v>
      </c>
      <c r="G33" s="34">
        <f>[1]Черн!O30</f>
        <v>0</v>
      </c>
      <c r="H33" s="34"/>
      <c r="I33" s="34"/>
      <c r="J33" s="34"/>
      <c r="K33" s="34">
        <f>[1]Черн!T30</f>
        <v>0</v>
      </c>
      <c r="L33" s="34">
        <f>[1]Черн!U30</f>
        <v>0</v>
      </c>
      <c r="M33" s="34">
        <f>[1]Черн!V30</f>
        <v>0</v>
      </c>
      <c r="N33" s="34">
        <f>[1]Черн!AA30</f>
        <v>0</v>
      </c>
      <c r="O33" s="34">
        <f>[1]Черн!AB30</f>
        <v>0</v>
      </c>
      <c r="P33" s="34">
        <f>[1]Черн!AC30</f>
        <v>0</v>
      </c>
      <c r="Q33" s="34"/>
      <c r="R33" s="34"/>
      <c r="S33" s="34"/>
      <c r="T33" s="34">
        <f>[1]Черн!AH30</f>
        <v>0</v>
      </c>
      <c r="U33" s="34">
        <f>[1]Черн!AI30</f>
        <v>0</v>
      </c>
      <c r="V33" s="34">
        <f>[1]Черн!AJ30</f>
        <v>0</v>
      </c>
      <c r="W33" s="34">
        <f>[1]Черн!AO30</f>
        <v>0</v>
      </c>
      <c r="X33" s="34">
        <f>[1]Черн!AP30</f>
        <v>0</v>
      </c>
      <c r="Y33" s="34">
        <f>[1]Черн!AQ30</f>
        <v>0</v>
      </c>
      <c r="Z33" s="34"/>
      <c r="AA33" s="34"/>
      <c r="AB33" s="50"/>
    </row>
    <row r="34" spans="1:28" x14ac:dyDescent="0.3">
      <c r="A34" s="362" t="s">
        <v>187</v>
      </c>
      <c r="B34" s="34">
        <f>[1]Черн!F31</f>
        <v>0</v>
      </c>
      <c r="C34" s="34">
        <f>[1]Черн!G31</f>
        <v>0</v>
      </c>
      <c r="D34" s="34">
        <f>[1]Черн!H31</f>
        <v>0</v>
      </c>
      <c r="E34" s="34">
        <f>[1]Черн!M31</f>
        <v>0</v>
      </c>
      <c r="F34" s="34">
        <f>[1]Черн!N31</f>
        <v>0</v>
      </c>
      <c r="G34" s="34">
        <f>[1]Черн!O31</f>
        <v>0</v>
      </c>
      <c r="H34" s="34"/>
      <c r="I34" s="34"/>
      <c r="J34" s="34"/>
      <c r="K34" s="34">
        <f>[1]Черн!T31</f>
        <v>0</v>
      </c>
      <c r="L34" s="34">
        <f>[1]Черн!U31</f>
        <v>0</v>
      </c>
      <c r="M34" s="34">
        <f>[1]Черн!V31</f>
        <v>0</v>
      </c>
      <c r="N34" s="34">
        <f>[1]Черн!AA31</f>
        <v>0</v>
      </c>
      <c r="O34" s="34">
        <f>[1]Черн!AB31</f>
        <v>0</v>
      </c>
      <c r="P34" s="34">
        <f>[1]Черн!AC31</f>
        <v>0</v>
      </c>
      <c r="Q34" s="34"/>
      <c r="R34" s="34"/>
      <c r="S34" s="34"/>
      <c r="T34" s="34">
        <f>[1]Черн!AH31</f>
        <v>0</v>
      </c>
      <c r="U34" s="34">
        <f>[1]Черн!AI31</f>
        <v>0</v>
      </c>
      <c r="V34" s="34">
        <f>[1]Черн!AJ31</f>
        <v>0</v>
      </c>
      <c r="W34" s="34">
        <f>[1]Черн!AO31</f>
        <v>0</v>
      </c>
      <c r="X34" s="34">
        <f>[1]Черн!AP31</f>
        <v>0</v>
      </c>
      <c r="Y34" s="34">
        <f>[1]Черн!AQ31</f>
        <v>0</v>
      </c>
      <c r="Z34" s="34"/>
      <c r="AA34" s="34"/>
      <c r="AB34" s="50"/>
    </row>
    <row r="35" spans="1:28" x14ac:dyDescent="0.3">
      <c r="A35" s="362" t="s">
        <v>188</v>
      </c>
      <c r="B35" s="34">
        <f>[1]Черн!F32</f>
        <v>0</v>
      </c>
      <c r="C35" s="34">
        <f>[1]Черн!G32</f>
        <v>0</v>
      </c>
      <c r="D35" s="34">
        <f>[1]Черн!H32</f>
        <v>0</v>
      </c>
      <c r="E35" s="34">
        <f>[1]Черн!M32</f>
        <v>0</v>
      </c>
      <c r="F35" s="34">
        <f>[1]Черн!N32</f>
        <v>0</v>
      </c>
      <c r="G35" s="34">
        <f>[1]Черн!O32</f>
        <v>0</v>
      </c>
      <c r="H35" s="34"/>
      <c r="I35" s="34"/>
      <c r="J35" s="34"/>
      <c r="K35" s="34">
        <f>[1]Черн!T32</f>
        <v>0</v>
      </c>
      <c r="L35" s="34">
        <f>[1]Черн!U32</f>
        <v>0</v>
      </c>
      <c r="M35" s="34">
        <f>[1]Черн!V32</f>
        <v>0</v>
      </c>
      <c r="N35" s="34">
        <f>[1]Черн!AA32</f>
        <v>0</v>
      </c>
      <c r="O35" s="34">
        <f>[1]Черн!AB32</f>
        <v>0</v>
      </c>
      <c r="P35" s="34">
        <f>[1]Черн!AC32</f>
        <v>0</v>
      </c>
      <c r="Q35" s="34"/>
      <c r="R35" s="34"/>
      <c r="S35" s="34"/>
      <c r="T35" s="34">
        <f>[1]Черн!AH32</f>
        <v>0</v>
      </c>
      <c r="U35" s="34">
        <f>[1]Черн!AI32</f>
        <v>0</v>
      </c>
      <c r="V35" s="34">
        <f>[1]Черн!AJ32</f>
        <v>0</v>
      </c>
      <c r="W35" s="34">
        <f>[1]Черн!AO32</f>
        <v>0</v>
      </c>
      <c r="X35" s="34">
        <f>[1]Черн!AP32</f>
        <v>0</v>
      </c>
      <c r="Y35" s="34">
        <f>[1]Черн!AQ32</f>
        <v>0</v>
      </c>
      <c r="Z35" s="34"/>
      <c r="AA35" s="34"/>
      <c r="AB35" s="50"/>
    </row>
    <row r="36" spans="1:28" s="365" customFormat="1" x14ac:dyDescent="0.3">
      <c r="A36" s="363" t="s">
        <v>189</v>
      </c>
      <c r="B36" s="352">
        <f>[1]Черн!F33</f>
        <v>1402890.9676599998</v>
      </c>
      <c r="C36" s="352">
        <f>[1]Черн!G33</f>
        <v>655987.22563</v>
      </c>
      <c r="D36" s="352">
        <f>[1]Черн!H33</f>
        <v>746903.74202999985</v>
      </c>
      <c r="E36" s="352">
        <f>[1]Черн!M33</f>
        <v>517238.81793999998</v>
      </c>
      <c r="F36" s="352">
        <f>[1]Черн!N33</f>
        <v>206107.83678000001</v>
      </c>
      <c r="G36" s="352">
        <f>[1]Черн!O33</f>
        <v>311130.98116000002</v>
      </c>
      <c r="H36" s="352">
        <f t="shared" si="3"/>
        <v>36.869495196960763</v>
      </c>
      <c r="I36" s="352">
        <f t="shared" si="3"/>
        <v>31.419489393571229</v>
      </c>
      <c r="J36" s="352">
        <f t="shared" si="0"/>
        <v>41.656101536508736</v>
      </c>
      <c r="K36" s="352">
        <f>[1]Черн!T33</f>
        <v>745583.75951999996</v>
      </c>
      <c r="L36" s="352">
        <f>[1]Черн!U33</f>
        <v>331892.78356000001</v>
      </c>
      <c r="M36" s="352">
        <f>[1]Черн!V33</f>
        <v>413690.97595999989</v>
      </c>
      <c r="N36" s="352">
        <f>[1]Черн!AA33</f>
        <v>273439.79805999994</v>
      </c>
      <c r="O36" s="352">
        <f>[1]Черн!AB33</f>
        <v>92655.663159999996</v>
      </c>
      <c r="P36" s="352">
        <f>[1]Черн!AC33</f>
        <v>180784.1349</v>
      </c>
      <c r="Q36" s="352">
        <f t="shared" si="4"/>
        <v>36.674591495399255</v>
      </c>
      <c r="R36" s="352">
        <f t="shared" si="4"/>
        <v>27.917347935722617</v>
      </c>
      <c r="S36" s="352">
        <f t="shared" si="1"/>
        <v>43.700284851628034</v>
      </c>
      <c r="T36" s="352">
        <f>[1]Черн!AH33</f>
        <v>657307.20814</v>
      </c>
      <c r="U36" s="352">
        <f>[1]Черн!AI33</f>
        <v>324094.44206999999</v>
      </c>
      <c r="V36" s="352">
        <f>[1]Черн!AJ33</f>
        <v>333212.76607000001</v>
      </c>
      <c r="W36" s="352">
        <f>[1]Черн!AO33</f>
        <v>243799.01987999998</v>
      </c>
      <c r="X36" s="352">
        <f>[1]Черн!AP33</f>
        <v>113452.17362</v>
      </c>
      <c r="Y36" s="352">
        <f>[1]Черн!AQ33</f>
        <v>130346.84626000001</v>
      </c>
      <c r="Z36" s="352">
        <f t="shared" si="5"/>
        <v>37.090574522966918</v>
      </c>
      <c r="AA36" s="352">
        <f t="shared" si="5"/>
        <v>35.005899174135138</v>
      </c>
      <c r="AB36" s="364">
        <f t="shared" si="2"/>
        <v>39.118203002047423</v>
      </c>
    </row>
    <row r="37" spans="1:28" x14ac:dyDescent="0.3">
      <c r="A37" s="366" t="s">
        <v>400</v>
      </c>
      <c r="B37" s="34">
        <f>[1]Черн!F34</f>
        <v>1190510.8886900002</v>
      </c>
      <c r="C37" s="34"/>
      <c r="D37" s="34"/>
      <c r="E37" s="34">
        <f>[1]Черн!M34</f>
        <v>315833.7096</v>
      </c>
      <c r="F37" s="34"/>
      <c r="G37" s="34"/>
      <c r="H37" s="34">
        <f t="shared" si="3"/>
        <v>26.529258371381488</v>
      </c>
      <c r="I37" s="34"/>
      <c r="J37" s="34"/>
      <c r="K37" s="34">
        <f>[1]Черн!T34</f>
        <v>1149353.8886900002</v>
      </c>
      <c r="L37" s="34"/>
      <c r="M37" s="34"/>
      <c r="N37" s="34">
        <f>[1]Черн!AA34</f>
        <v>315833.7096</v>
      </c>
      <c r="O37" s="34"/>
      <c r="P37" s="34"/>
      <c r="Q37" s="34">
        <f t="shared" si="4"/>
        <v>27.479239658724953</v>
      </c>
      <c r="R37" s="34"/>
      <c r="S37" s="34"/>
      <c r="T37" s="34">
        <f>[1]Черн!AH34</f>
        <v>41157</v>
      </c>
      <c r="U37" s="34"/>
      <c r="V37" s="34"/>
      <c r="W37" s="34">
        <f>[1]Черн!AO34</f>
        <v>0</v>
      </c>
      <c r="X37" s="34"/>
      <c r="Y37" s="34"/>
      <c r="Z37" s="353">
        <f t="shared" si="5"/>
        <v>0</v>
      </c>
      <c r="AA37" s="34"/>
      <c r="AB37" s="50"/>
    </row>
    <row r="38" spans="1:28" s="365" customFormat="1" ht="13.8" thickBot="1" x14ac:dyDescent="0.35">
      <c r="A38" s="367" t="s">
        <v>401</v>
      </c>
      <c r="B38" s="357">
        <f>[1]Черн!F35</f>
        <v>2593401.85635</v>
      </c>
      <c r="C38" s="357">
        <f>C36</f>
        <v>655987.22563</v>
      </c>
      <c r="D38" s="357">
        <f>[1]Черн!H35</f>
        <v>746903.74202999985</v>
      </c>
      <c r="E38" s="357">
        <f>[1]Черн!M35</f>
        <v>833072.52753999992</v>
      </c>
      <c r="F38" s="357">
        <f>F36</f>
        <v>206107.83678000001</v>
      </c>
      <c r="G38" s="357">
        <f>[1]Черн!O35</f>
        <v>311130.98116000002</v>
      </c>
      <c r="H38" s="357">
        <f t="shared" si="3"/>
        <v>32.122770541719326</v>
      </c>
      <c r="I38" s="357">
        <f t="shared" si="3"/>
        <v>31.419489393571229</v>
      </c>
      <c r="J38" s="357">
        <f t="shared" si="0"/>
        <v>41.656101536508736</v>
      </c>
      <c r="K38" s="357">
        <f>[1]Черн!T35</f>
        <v>1894937.6482100002</v>
      </c>
      <c r="L38" s="357">
        <f>L36</f>
        <v>331892.78356000001</v>
      </c>
      <c r="M38" s="357">
        <f>[1]Черн!V35</f>
        <v>413690.97595999989</v>
      </c>
      <c r="N38" s="357">
        <f>[1]Черн!AA35</f>
        <v>589273.50765999989</v>
      </c>
      <c r="O38" s="357">
        <f>O36</f>
        <v>92655.663159999996</v>
      </c>
      <c r="P38" s="357">
        <f>[1]Черн!AC35</f>
        <v>180784.1349</v>
      </c>
      <c r="Q38" s="357">
        <f t="shared" si="4"/>
        <v>31.097250519912386</v>
      </c>
      <c r="R38" s="357">
        <f t="shared" si="4"/>
        <v>27.917347935722617</v>
      </c>
      <c r="S38" s="357">
        <f t="shared" si="1"/>
        <v>43.700284851628034</v>
      </c>
      <c r="T38" s="357">
        <f>[1]Черн!AH35</f>
        <v>698464.20814</v>
      </c>
      <c r="U38" s="357">
        <f>U36</f>
        <v>324094.44206999999</v>
      </c>
      <c r="V38" s="357">
        <f>[1]Черн!AJ35</f>
        <v>333212.76607000001</v>
      </c>
      <c r="W38" s="357">
        <f>[1]Черн!AO35</f>
        <v>243799.01987999998</v>
      </c>
      <c r="X38" s="357">
        <f>X36</f>
        <v>113452.17362</v>
      </c>
      <c r="Y38" s="357">
        <f>[1]Черн!AQ35</f>
        <v>130346.84626000001</v>
      </c>
      <c r="Z38" s="357">
        <f t="shared" si="5"/>
        <v>34.905012603184524</v>
      </c>
      <c r="AA38" s="357">
        <f t="shared" si="5"/>
        <v>35.005899174135138</v>
      </c>
      <c r="AB38" s="368">
        <f t="shared" si="2"/>
        <v>39.118203002047423</v>
      </c>
    </row>
    <row r="39" spans="1:28" ht="13.8" thickTop="1" x14ac:dyDescent="0.3"/>
    <row r="40" spans="1:28" x14ac:dyDescent="0.3">
      <c r="A40" s="222" t="s">
        <v>426</v>
      </c>
    </row>
  </sheetData>
  <mergeCells count="35">
    <mergeCell ref="AA7:AB7"/>
    <mergeCell ref="O7:P7"/>
    <mergeCell ref="Q7:Q8"/>
    <mergeCell ref="R7:S7"/>
    <mergeCell ref="T7:T8"/>
    <mergeCell ref="U7:V7"/>
    <mergeCell ref="W7:W8"/>
    <mergeCell ref="Q6:S6"/>
    <mergeCell ref="T6:V6"/>
    <mergeCell ref="W6:Y6"/>
    <mergeCell ref="X7:Y7"/>
    <mergeCell ref="Z7:Z8"/>
    <mergeCell ref="I7:J7"/>
    <mergeCell ref="K7:K8"/>
    <mergeCell ref="L7:M7"/>
    <mergeCell ref="N7:N8"/>
    <mergeCell ref="H6:J6"/>
    <mergeCell ref="K6:M6"/>
    <mergeCell ref="N6:P6"/>
    <mergeCell ref="Y1:AB1"/>
    <mergeCell ref="A2:AB2"/>
    <mergeCell ref="Z3:AB3"/>
    <mergeCell ref="A4:A8"/>
    <mergeCell ref="B4:J5"/>
    <mergeCell ref="K4:AB4"/>
    <mergeCell ref="K5:S5"/>
    <mergeCell ref="T5:AB5"/>
    <mergeCell ref="B6:D6"/>
    <mergeCell ref="E6:G6"/>
    <mergeCell ref="Z6:AB6"/>
    <mergeCell ref="B7:B8"/>
    <mergeCell ref="C7:D7"/>
    <mergeCell ref="E7:E8"/>
    <mergeCell ref="F7:G7"/>
    <mergeCell ref="H7:H8"/>
  </mergeCells>
  <pageMargins left="0.39370078740157483" right="0.39370078740157483" top="0.59055118110236227" bottom="0.59055118110236227" header="0.31496062992125984" footer="0.31496062992125984"/>
  <pageSetup paperSize="9" scale="80" orientation="landscape" r:id="rId1"/>
  <headerFooter>
    <oddFooter>&amp;CСтраница 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zoomScaleNormal="100" workbookViewId="0">
      <selection activeCell="M8" sqref="M8"/>
    </sheetView>
  </sheetViews>
  <sheetFormatPr defaultColWidth="9.109375" defaultRowHeight="13.2" x14ac:dyDescent="0.3"/>
  <cols>
    <col min="1" max="1" width="21.44140625" style="217" customWidth="1"/>
    <col min="2" max="4" width="0" style="243" hidden="1" customWidth="1"/>
    <col min="5" max="5" width="9.109375" style="243"/>
    <col min="6" max="6" width="9.44140625" style="243" customWidth="1"/>
    <col min="7" max="7" width="9.109375" style="243"/>
    <col min="8" max="8" width="6.109375" style="243" customWidth="1"/>
    <col min="9" max="9" width="7.5546875" style="243" customWidth="1"/>
    <col min="10" max="10" width="6.33203125" style="243" customWidth="1"/>
    <col min="11" max="11" width="11.33203125" style="243" hidden="1" customWidth="1"/>
    <col min="12" max="13" width="9.6640625" style="243" hidden="1" customWidth="1"/>
    <col min="14" max="15" width="9.6640625" style="243" bestFit="1" customWidth="1"/>
    <col min="16" max="16" width="9.109375" style="243"/>
    <col min="17" max="18" width="6.6640625" style="243" customWidth="1"/>
    <col min="19" max="19" width="6.33203125" style="243" customWidth="1"/>
    <col min="20" max="20" width="9.6640625" style="243" hidden="1" customWidth="1"/>
    <col min="21" max="21" width="0" style="243" hidden="1" customWidth="1"/>
    <col min="22" max="22" width="9.6640625" style="243" hidden="1" customWidth="1"/>
    <col min="23" max="23" width="9.6640625" style="243" bestFit="1" customWidth="1"/>
    <col min="24" max="24" width="9.109375" style="243"/>
    <col min="25" max="25" width="9.6640625" style="243" bestFit="1" customWidth="1"/>
    <col min="26" max="26" width="6.33203125" style="243" bestFit="1" customWidth="1"/>
    <col min="27" max="27" width="6.6640625" style="243" customWidth="1"/>
    <col min="28" max="28" width="6.109375" style="243" bestFit="1" customWidth="1"/>
    <col min="29" max="16384" width="9.109375" style="243"/>
  </cols>
  <sheetData>
    <row r="1" spans="1:28" s="217" customFormat="1" ht="24.75" customHeight="1" x14ac:dyDescent="0.3">
      <c r="Z1" s="432" t="s">
        <v>406</v>
      </c>
      <c r="AA1" s="432"/>
      <c r="AB1" s="432"/>
    </row>
    <row r="2" spans="1:28" s="217" customFormat="1" ht="38.25" customHeight="1" x14ac:dyDescent="0.3">
      <c r="A2" s="433" t="s">
        <v>427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</row>
    <row r="3" spans="1:28" s="217" customFormat="1" ht="13.8" thickBot="1" x14ac:dyDescent="0.35">
      <c r="Z3" s="425" t="s">
        <v>391</v>
      </c>
      <c r="AA3" s="425"/>
      <c r="AB3" s="425"/>
    </row>
    <row r="4" spans="1:28" s="269" customFormat="1" ht="15.75" customHeight="1" thickTop="1" x14ac:dyDescent="0.3">
      <c r="A4" s="426" t="s">
        <v>190</v>
      </c>
      <c r="B4" s="428" t="s">
        <v>402</v>
      </c>
      <c r="C4" s="428"/>
      <c r="D4" s="428"/>
      <c r="E4" s="428"/>
      <c r="F4" s="428"/>
      <c r="G4" s="428"/>
      <c r="H4" s="428"/>
      <c r="I4" s="428"/>
      <c r="J4" s="428"/>
      <c r="K4" s="428" t="s">
        <v>403</v>
      </c>
      <c r="L4" s="428"/>
      <c r="M4" s="428"/>
      <c r="N4" s="428"/>
      <c r="O4" s="428"/>
      <c r="P4" s="428"/>
      <c r="Q4" s="428"/>
      <c r="R4" s="428"/>
      <c r="S4" s="428"/>
      <c r="T4" s="428" t="s">
        <v>404</v>
      </c>
      <c r="U4" s="428"/>
      <c r="V4" s="428"/>
      <c r="W4" s="428"/>
      <c r="X4" s="428"/>
      <c r="Y4" s="428"/>
      <c r="Z4" s="428"/>
      <c r="AA4" s="428"/>
      <c r="AB4" s="430"/>
    </row>
    <row r="5" spans="1:28" s="269" customFormat="1" ht="39" customHeight="1" x14ac:dyDescent="0.3">
      <c r="A5" s="427"/>
      <c r="B5" s="429"/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429"/>
      <c r="AB5" s="431"/>
    </row>
    <row r="6" spans="1:28" s="269" customFormat="1" ht="28.2" customHeight="1" x14ac:dyDescent="0.3">
      <c r="A6" s="427"/>
      <c r="B6" s="429" t="s">
        <v>363</v>
      </c>
      <c r="C6" s="429"/>
      <c r="D6" s="429"/>
      <c r="E6" s="429" t="s">
        <v>365</v>
      </c>
      <c r="F6" s="429"/>
      <c r="G6" s="429"/>
      <c r="H6" s="429" t="s">
        <v>396</v>
      </c>
      <c r="I6" s="429"/>
      <c r="J6" s="429"/>
      <c r="K6" s="429" t="s">
        <v>363</v>
      </c>
      <c r="L6" s="429"/>
      <c r="M6" s="429"/>
      <c r="N6" s="429" t="s">
        <v>365</v>
      </c>
      <c r="O6" s="429"/>
      <c r="P6" s="429"/>
      <c r="Q6" s="429" t="s">
        <v>396</v>
      </c>
      <c r="R6" s="429"/>
      <c r="S6" s="429"/>
      <c r="T6" s="429" t="s">
        <v>363</v>
      </c>
      <c r="U6" s="429"/>
      <c r="V6" s="429"/>
      <c r="W6" s="429" t="s">
        <v>365</v>
      </c>
      <c r="X6" s="429"/>
      <c r="Y6" s="429"/>
      <c r="Z6" s="429" t="s">
        <v>396</v>
      </c>
      <c r="AA6" s="429"/>
      <c r="AB6" s="431"/>
    </row>
    <row r="7" spans="1:28" s="269" customFormat="1" x14ac:dyDescent="0.3">
      <c r="A7" s="427"/>
      <c r="B7" s="429" t="s">
        <v>196</v>
      </c>
      <c r="C7" s="429" t="s">
        <v>8</v>
      </c>
      <c r="D7" s="429"/>
      <c r="E7" s="429" t="s">
        <v>196</v>
      </c>
      <c r="F7" s="429" t="s">
        <v>8</v>
      </c>
      <c r="G7" s="429"/>
      <c r="H7" s="429" t="s">
        <v>196</v>
      </c>
      <c r="I7" s="429" t="s">
        <v>8</v>
      </c>
      <c r="J7" s="429"/>
      <c r="K7" s="429" t="s">
        <v>196</v>
      </c>
      <c r="L7" s="429" t="s">
        <v>8</v>
      </c>
      <c r="M7" s="429"/>
      <c r="N7" s="429" t="s">
        <v>196</v>
      </c>
      <c r="O7" s="429" t="s">
        <v>8</v>
      </c>
      <c r="P7" s="429"/>
      <c r="Q7" s="429" t="s">
        <v>196</v>
      </c>
      <c r="R7" s="429" t="s">
        <v>8</v>
      </c>
      <c r="S7" s="429"/>
      <c r="T7" s="429" t="s">
        <v>196</v>
      </c>
      <c r="U7" s="429" t="s">
        <v>8</v>
      </c>
      <c r="V7" s="429"/>
      <c r="W7" s="429" t="s">
        <v>196</v>
      </c>
      <c r="X7" s="429" t="s">
        <v>8</v>
      </c>
      <c r="Y7" s="429"/>
      <c r="Z7" s="429" t="s">
        <v>196</v>
      </c>
      <c r="AA7" s="429" t="s">
        <v>8</v>
      </c>
      <c r="AB7" s="431"/>
    </row>
    <row r="8" spans="1:28" s="369" customFormat="1" ht="48" x14ac:dyDescent="0.3">
      <c r="A8" s="427"/>
      <c r="B8" s="429"/>
      <c r="C8" s="345" t="s">
        <v>397</v>
      </c>
      <c r="D8" s="345" t="s">
        <v>398</v>
      </c>
      <c r="E8" s="429"/>
      <c r="F8" s="345" t="s">
        <v>397</v>
      </c>
      <c r="G8" s="345" t="s">
        <v>398</v>
      </c>
      <c r="H8" s="429"/>
      <c r="I8" s="345" t="s">
        <v>399</v>
      </c>
      <c r="J8" s="345" t="s">
        <v>398</v>
      </c>
      <c r="K8" s="429"/>
      <c r="L8" s="345" t="s">
        <v>397</v>
      </c>
      <c r="M8" s="345" t="s">
        <v>398</v>
      </c>
      <c r="N8" s="429"/>
      <c r="O8" s="345" t="s">
        <v>397</v>
      </c>
      <c r="P8" s="345" t="s">
        <v>398</v>
      </c>
      <c r="Q8" s="429"/>
      <c r="R8" s="345" t="s">
        <v>399</v>
      </c>
      <c r="S8" s="345" t="s">
        <v>398</v>
      </c>
      <c r="T8" s="429"/>
      <c r="U8" s="345" t="s">
        <v>397</v>
      </c>
      <c r="V8" s="345" t="s">
        <v>398</v>
      </c>
      <c r="W8" s="429"/>
      <c r="X8" s="345" t="s">
        <v>397</v>
      </c>
      <c r="Y8" s="345" t="s">
        <v>398</v>
      </c>
      <c r="Z8" s="429"/>
      <c r="AA8" s="345" t="s">
        <v>399</v>
      </c>
      <c r="AB8" s="347" t="s">
        <v>398</v>
      </c>
    </row>
    <row r="9" spans="1:28" s="370" customFormat="1" ht="10.199999999999999" x14ac:dyDescent="0.3">
      <c r="A9" s="360" t="s">
        <v>13</v>
      </c>
      <c r="B9" s="303">
        <v>1</v>
      </c>
      <c r="C9" s="303">
        <v>2</v>
      </c>
      <c r="D9" s="303">
        <v>3</v>
      </c>
      <c r="E9" s="303">
        <v>1</v>
      </c>
      <c r="F9" s="303">
        <v>2</v>
      </c>
      <c r="G9" s="303">
        <v>3</v>
      </c>
      <c r="H9" s="303">
        <v>4</v>
      </c>
      <c r="I9" s="303">
        <v>5</v>
      </c>
      <c r="J9" s="303">
        <v>6</v>
      </c>
      <c r="K9" s="303"/>
      <c r="L9" s="303"/>
      <c r="M9" s="303"/>
      <c r="N9" s="303">
        <v>7</v>
      </c>
      <c r="O9" s="303">
        <v>8</v>
      </c>
      <c r="P9" s="303">
        <v>9</v>
      </c>
      <c r="Q9" s="303">
        <v>10</v>
      </c>
      <c r="R9" s="303">
        <v>11</v>
      </c>
      <c r="S9" s="303">
        <v>12</v>
      </c>
      <c r="T9" s="303"/>
      <c r="U9" s="303"/>
      <c r="V9" s="303"/>
      <c r="W9" s="303">
        <v>13</v>
      </c>
      <c r="X9" s="303">
        <v>14</v>
      </c>
      <c r="Y9" s="303">
        <v>15</v>
      </c>
      <c r="Z9" s="303">
        <v>16</v>
      </c>
      <c r="AA9" s="303">
        <v>17</v>
      </c>
      <c r="AB9" s="271">
        <v>18</v>
      </c>
    </row>
    <row r="10" spans="1:28" x14ac:dyDescent="0.3">
      <c r="A10" s="362" t="s">
        <v>163</v>
      </c>
      <c r="B10" s="34">
        <f>[1]Черн!AV7</f>
        <v>0</v>
      </c>
      <c r="C10" s="34">
        <f>[1]Черн!AW7</f>
        <v>0</v>
      </c>
      <c r="D10" s="34">
        <f>[1]Черн!AX7</f>
        <v>0</v>
      </c>
      <c r="E10" s="34">
        <f>[1]Черн!BC7</f>
        <v>0</v>
      </c>
      <c r="F10" s="34">
        <f>[1]Черн!BD7</f>
        <v>0</v>
      </c>
      <c r="G10" s="34">
        <f>[1]Черн!BE7</f>
        <v>0</v>
      </c>
      <c r="H10" s="34"/>
      <c r="I10" s="34"/>
      <c r="J10" s="34"/>
      <c r="K10" s="34">
        <f>[1]Черн!BM7</f>
        <v>35373.021999999997</v>
      </c>
      <c r="L10" s="34">
        <f>[1]Черн!BN7</f>
        <v>0</v>
      </c>
      <c r="M10" s="34">
        <f>[1]Черн!BO7</f>
        <v>35373.021999999997</v>
      </c>
      <c r="N10" s="34">
        <f>[1]Черн!BT7</f>
        <v>0</v>
      </c>
      <c r="O10" s="34">
        <f>[1]Черн!BU7</f>
        <v>0</v>
      </c>
      <c r="P10" s="34">
        <f>[1]Черн!BV7</f>
        <v>0</v>
      </c>
      <c r="Q10" s="353">
        <f>N10/K10%</f>
        <v>0</v>
      </c>
      <c r="R10" s="34"/>
      <c r="S10" s="34">
        <f t="shared" ref="S10:S38" si="0">P10/M10%</f>
        <v>0</v>
      </c>
      <c r="T10" s="34">
        <f>[1]Черн!CD7</f>
        <v>32350.763500000001</v>
      </c>
      <c r="U10" s="34">
        <f>[1]Черн!CE7</f>
        <v>0</v>
      </c>
      <c r="V10" s="34">
        <f>[1]Черн!CF7</f>
        <v>32350.763500000001</v>
      </c>
      <c r="W10" s="34">
        <f>[1]Черн!CK7</f>
        <v>6327.60826</v>
      </c>
      <c r="X10" s="34">
        <f>[1]Черн!CL7</f>
        <v>0</v>
      </c>
      <c r="Y10" s="34">
        <f>[1]Черн!CM7</f>
        <v>6327.60826</v>
      </c>
      <c r="Z10" s="34">
        <f>W10/T10%</f>
        <v>19.559378436308002</v>
      </c>
      <c r="AA10" s="34"/>
      <c r="AB10" s="50">
        <f>Y10/V10%</f>
        <v>19.559378436308002</v>
      </c>
    </row>
    <row r="11" spans="1:28" x14ac:dyDescent="0.3">
      <c r="A11" s="362" t="s">
        <v>164</v>
      </c>
      <c r="B11" s="34">
        <f>[1]Черн!AV8</f>
        <v>0</v>
      </c>
      <c r="C11" s="34">
        <f>[1]Черн!AW8</f>
        <v>0</v>
      </c>
      <c r="D11" s="34">
        <f>[1]Черн!AX8</f>
        <v>0</v>
      </c>
      <c r="E11" s="34">
        <f>[1]Черн!BC8</f>
        <v>0</v>
      </c>
      <c r="F11" s="34">
        <f>[1]Черн!BD8</f>
        <v>0</v>
      </c>
      <c r="G11" s="34">
        <f>[1]Черн!BE8</f>
        <v>0</v>
      </c>
      <c r="H11" s="34"/>
      <c r="I11" s="34"/>
      <c r="J11" s="34"/>
      <c r="K11" s="34">
        <f>[1]Черн!BM8</f>
        <v>44133.105619999995</v>
      </c>
      <c r="L11" s="34">
        <f>[1]Черн!BN8</f>
        <v>42841.68</v>
      </c>
      <c r="M11" s="34">
        <f>[1]Черн!BO8</f>
        <v>1291.4256200000002</v>
      </c>
      <c r="N11" s="34">
        <f>[1]Черн!BT8</f>
        <v>1291.4256200000002</v>
      </c>
      <c r="O11" s="34">
        <f>[1]Черн!BU8</f>
        <v>0</v>
      </c>
      <c r="P11" s="34">
        <f>[1]Черн!BV8</f>
        <v>1291.4256200000002</v>
      </c>
      <c r="Q11" s="34">
        <f t="shared" ref="Q11:R38" si="1">N11/K11%</f>
        <v>2.9262060801240311</v>
      </c>
      <c r="R11" s="34">
        <f t="shared" si="1"/>
        <v>0</v>
      </c>
      <c r="S11" s="34">
        <f t="shared" si="0"/>
        <v>100</v>
      </c>
      <c r="T11" s="34">
        <f>[1]Черн!CD8</f>
        <v>20294.303379999998</v>
      </c>
      <c r="U11" s="34">
        <f>[1]Черн!CE8</f>
        <v>0</v>
      </c>
      <c r="V11" s="34">
        <f>[1]Черн!CF8</f>
        <v>20294.303379999998</v>
      </c>
      <c r="W11" s="34">
        <f>[1]Черн!CK8</f>
        <v>20294.303379999998</v>
      </c>
      <c r="X11" s="34">
        <f>[1]Черн!CL8</f>
        <v>0</v>
      </c>
      <c r="Y11" s="34">
        <f>[1]Черн!CM8</f>
        <v>20294.303379999998</v>
      </c>
      <c r="Z11" s="353">
        <f t="shared" ref="Z11:AA38" si="2">W11/T11%</f>
        <v>100</v>
      </c>
      <c r="AA11" s="34"/>
      <c r="AB11" s="50">
        <f t="shared" ref="AB11:AB38" si="3">Y11/V11%</f>
        <v>100</v>
      </c>
    </row>
    <row r="12" spans="1:28" x14ac:dyDescent="0.3">
      <c r="A12" s="362" t="s">
        <v>165</v>
      </c>
      <c r="B12" s="34">
        <f>[1]Черн!AV9</f>
        <v>1318</v>
      </c>
      <c r="C12" s="34">
        <f>[1]Черн!AW9</f>
        <v>1268</v>
      </c>
      <c r="D12" s="34">
        <f>[1]Черн!AX9</f>
        <v>50</v>
      </c>
      <c r="E12" s="34">
        <f>[1]Черн!BC9</f>
        <v>2.1816900000000001</v>
      </c>
      <c r="F12" s="34">
        <f>[1]Черн!BD9</f>
        <v>2.1816900000000001</v>
      </c>
      <c r="G12" s="34">
        <f>[1]Черн!BE9</f>
        <v>0</v>
      </c>
      <c r="H12" s="34">
        <f t="shared" ref="H12:J38" si="4">E12/B12%</f>
        <v>0.16553034901365707</v>
      </c>
      <c r="I12" s="34">
        <f t="shared" si="4"/>
        <v>0.17205757097791799</v>
      </c>
      <c r="J12" s="34">
        <f t="shared" si="4"/>
        <v>0</v>
      </c>
      <c r="K12" s="34">
        <f>[1]Черн!BM9</f>
        <v>0</v>
      </c>
      <c r="L12" s="34">
        <f>[1]Черн!BN9</f>
        <v>0</v>
      </c>
      <c r="M12" s="34">
        <f>[1]Черн!BO9</f>
        <v>0</v>
      </c>
      <c r="N12" s="34">
        <f>[1]Черн!BT9</f>
        <v>0</v>
      </c>
      <c r="O12" s="34">
        <f>[1]Черн!BU9</f>
        <v>0</v>
      </c>
      <c r="P12" s="34">
        <f>[1]Черн!BV9</f>
        <v>0</v>
      </c>
      <c r="Q12" s="34"/>
      <c r="R12" s="34"/>
      <c r="S12" s="34"/>
      <c r="T12" s="34">
        <f>[1]Черн!CD9</f>
        <v>0</v>
      </c>
      <c r="U12" s="34">
        <f>[1]Черн!CE9</f>
        <v>0</v>
      </c>
      <c r="V12" s="34">
        <f>[1]Черн!CF9</f>
        <v>0</v>
      </c>
      <c r="W12" s="34">
        <f>[1]Черн!CK9</f>
        <v>0</v>
      </c>
      <c r="X12" s="34">
        <f>[1]Черн!CL9</f>
        <v>0</v>
      </c>
      <c r="Y12" s="34">
        <f>[1]Черн!CM9</f>
        <v>0</v>
      </c>
      <c r="Z12" s="34"/>
      <c r="AA12" s="34"/>
      <c r="AB12" s="50"/>
    </row>
    <row r="13" spans="1:28" x14ac:dyDescent="0.3">
      <c r="A13" s="362" t="s">
        <v>166</v>
      </c>
      <c r="B13" s="34">
        <f>[1]Черн!AV10</f>
        <v>0</v>
      </c>
      <c r="C13" s="34">
        <f>[1]Черн!AW10</f>
        <v>0</v>
      </c>
      <c r="D13" s="34">
        <f>[1]Черн!AX10</f>
        <v>0</v>
      </c>
      <c r="E13" s="34">
        <f>[1]Черн!BC10</f>
        <v>0</v>
      </c>
      <c r="F13" s="34">
        <f>[1]Черн!BD10</f>
        <v>0</v>
      </c>
      <c r="G13" s="34">
        <f>[1]Черн!BE10</f>
        <v>0</v>
      </c>
      <c r="H13" s="34"/>
      <c r="I13" s="34"/>
      <c r="J13" s="34"/>
      <c r="K13" s="34">
        <f>[1]Черн!BM10</f>
        <v>0</v>
      </c>
      <c r="L13" s="34">
        <f>[1]Черн!BN10</f>
        <v>0</v>
      </c>
      <c r="M13" s="34">
        <f>[1]Черн!BO10</f>
        <v>0</v>
      </c>
      <c r="N13" s="34">
        <f>[1]Черн!BT10</f>
        <v>0</v>
      </c>
      <c r="O13" s="34">
        <f>[1]Черн!BU10</f>
        <v>0</v>
      </c>
      <c r="P13" s="34">
        <f>[1]Черн!BV10</f>
        <v>0</v>
      </c>
      <c r="Q13" s="34"/>
      <c r="R13" s="34"/>
      <c r="S13" s="34"/>
      <c r="T13" s="34">
        <f>[1]Черн!CD10</f>
        <v>0</v>
      </c>
      <c r="U13" s="34">
        <f>[1]Черн!CE10</f>
        <v>0</v>
      </c>
      <c r="V13" s="34">
        <f>[1]Черн!CF10</f>
        <v>0</v>
      </c>
      <c r="W13" s="34">
        <f>[1]Черн!CK10</f>
        <v>0</v>
      </c>
      <c r="X13" s="34">
        <f>[1]Черн!CL10</f>
        <v>0</v>
      </c>
      <c r="Y13" s="34">
        <f>[1]Черн!CM10</f>
        <v>0</v>
      </c>
      <c r="Z13" s="34"/>
      <c r="AA13" s="34"/>
      <c r="AB13" s="50"/>
    </row>
    <row r="14" spans="1:28" x14ac:dyDescent="0.3">
      <c r="A14" s="362" t="s">
        <v>167</v>
      </c>
      <c r="B14" s="34">
        <f>[1]Черн!AV11</f>
        <v>0</v>
      </c>
      <c r="C14" s="34">
        <f>[1]Черн!AW11</f>
        <v>0</v>
      </c>
      <c r="D14" s="34">
        <f>[1]Черн!AX11</f>
        <v>0</v>
      </c>
      <c r="E14" s="34">
        <f>[1]Черн!BC11</f>
        <v>0</v>
      </c>
      <c r="F14" s="34">
        <f>[1]Черн!BD11</f>
        <v>0</v>
      </c>
      <c r="G14" s="34">
        <f>[1]Черн!BE11</f>
        <v>0</v>
      </c>
      <c r="H14" s="34"/>
      <c r="I14" s="34"/>
      <c r="J14" s="34"/>
      <c r="K14" s="34">
        <f>[1]Черн!BM11</f>
        <v>0</v>
      </c>
      <c r="L14" s="34">
        <f>[1]Черн!BN11</f>
        <v>0</v>
      </c>
      <c r="M14" s="34">
        <f>[1]Черн!BO11</f>
        <v>0</v>
      </c>
      <c r="N14" s="34">
        <f>[1]Черн!BT11</f>
        <v>0</v>
      </c>
      <c r="O14" s="34">
        <f>[1]Черн!BU11</f>
        <v>0</v>
      </c>
      <c r="P14" s="34">
        <f>[1]Черн!BV11</f>
        <v>0</v>
      </c>
      <c r="Q14" s="34"/>
      <c r="R14" s="34"/>
      <c r="S14" s="34"/>
      <c r="T14" s="34">
        <f>[1]Черн!CD11</f>
        <v>31028.909259999997</v>
      </c>
      <c r="U14" s="34">
        <f>[1]Черн!CE11</f>
        <v>14919.692999999999</v>
      </c>
      <c r="V14" s="34">
        <f>[1]Черн!CF11</f>
        <v>16109.216259999999</v>
      </c>
      <c r="W14" s="34">
        <f>[1]Черн!CK11</f>
        <v>31028.909259999997</v>
      </c>
      <c r="X14" s="34">
        <f>[1]Черн!CL11</f>
        <v>14919.692999999999</v>
      </c>
      <c r="Y14" s="34">
        <f>[1]Черн!CM11</f>
        <v>16109.216259999999</v>
      </c>
      <c r="Z14" s="353">
        <f t="shared" si="2"/>
        <v>100</v>
      </c>
      <c r="AA14" s="34">
        <f t="shared" si="2"/>
        <v>100.00000000000001</v>
      </c>
      <c r="AB14" s="50">
        <f t="shared" si="3"/>
        <v>100</v>
      </c>
    </row>
    <row r="15" spans="1:28" x14ac:dyDescent="0.3">
      <c r="A15" s="362" t="s">
        <v>168</v>
      </c>
      <c r="B15" s="34">
        <f>[1]Черн!AV12</f>
        <v>1300</v>
      </c>
      <c r="C15" s="34">
        <f>[1]Черн!AW12</f>
        <v>0</v>
      </c>
      <c r="D15" s="34">
        <f>[1]Черн!AX12</f>
        <v>1300</v>
      </c>
      <c r="E15" s="34">
        <f>[1]Черн!BC12</f>
        <v>330.19828999999999</v>
      </c>
      <c r="F15" s="34">
        <f>[1]Черн!BD12</f>
        <v>0</v>
      </c>
      <c r="G15" s="34">
        <f>[1]Черн!BE12</f>
        <v>330.19828999999999</v>
      </c>
      <c r="H15" s="34">
        <f t="shared" si="4"/>
        <v>25.39986846153846</v>
      </c>
      <c r="I15" s="34"/>
      <c r="J15" s="34">
        <f t="shared" si="4"/>
        <v>25.39986846153846</v>
      </c>
      <c r="K15" s="34">
        <f>[1]Черн!BM12</f>
        <v>0</v>
      </c>
      <c r="L15" s="34">
        <f>[1]Черн!BN12</f>
        <v>0</v>
      </c>
      <c r="M15" s="34">
        <f>[1]Черн!BO12</f>
        <v>0</v>
      </c>
      <c r="N15" s="34">
        <f>[1]Черн!BT12</f>
        <v>0</v>
      </c>
      <c r="O15" s="34">
        <f>[1]Черн!BU12</f>
        <v>0</v>
      </c>
      <c r="P15" s="34">
        <f>[1]Черн!BV12</f>
        <v>0</v>
      </c>
      <c r="Q15" s="34"/>
      <c r="R15" s="34"/>
      <c r="S15" s="34"/>
      <c r="T15" s="34">
        <f>[1]Черн!CD12</f>
        <v>142739.00922000001</v>
      </c>
      <c r="U15" s="34">
        <f>[1]Черн!CE12</f>
        <v>0</v>
      </c>
      <c r="V15" s="34">
        <f>[1]Черн!CF12</f>
        <v>142739.00922000001</v>
      </c>
      <c r="W15" s="34">
        <f>[1]Черн!CK12</f>
        <v>138920.22899999999</v>
      </c>
      <c r="X15" s="34">
        <f>[1]Черн!CL12</f>
        <v>0</v>
      </c>
      <c r="Y15" s="34">
        <f>[1]Черн!CM12</f>
        <v>138920.22899999999</v>
      </c>
      <c r="Z15" s="34">
        <f t="shared" si="2"/>
        <v>97.324641497185809</v>
      </c>
      <c r="AA15" s="34"/>
      <c r="AB15" s="50">
        <f t="shared" si="3"/>
        <v>97.324641497185809</v>
      </c>
    </row>
    <row r="16" spans="1:28" x14ac:dyDescent="0.3">
      <c r="A16" s="362" t="s">
        <v>169</v>
      </c>
      <c r="B16" s="34">
        <f>[1]Черн!AV13</f>
        <v>790.5</v>
      </c>
      <c r="C16" s="34">
        <f>[1]Черн!AW13</f>
        <v>0</v>
      </c>
      <c r="D16" s="34">
        <f>[1]Черн!AX13</f>
        <v>790.5</v>
      </c>
      <c r="E16" s="34">
        <f>[1]Черн!BC13</f>
        <v>6.98</v>
      </c>
      <c r="F16" s="34">
        <f>[1]Черн!BD13</f>
        <v>0</v>
      </c>
      <c r="G16" s="34">
        <f>[1]Черн!BE13</f>
        <v>6.98</v>
      </c>
      <c r="H16" s="34">
        <f t="shared" si="4"/>
        <v>0.88298545224541436</v>
      </c>
      <c r="I16" s="34"/>
      <c r="J16" s="34">
        <f t="shared" si="4"/>
        <v>0.88298545224541436</v>
      </c>
      <c r="K16" s="34">
        <f>[1]Черн!BM13</f>
        <v>4740.7043899999999</v>
      </c>
      <c r="L16" s="34">
        <f>[1]Черн!BN13</f>
        <v>0</v>
      </c>
      <c r="M16" s="34">
        <f>[1]Черн!BO13</f>
        <v>4740.7043899999999</v>
      </c>
      <c r="N16" s="34">
        <f>[1]Черн!BT13</f>
        <v>0</v>
      </c>
      <c r="O16" s="34">
        <f>[1]Черн!BU13</f>
        <v>0</v>
      </c>
      <c r="P16" s="34">
        <f>[1]Черн!BV13</f>
        <v>0</v>
      </c>
      <c r="Q16" s="353">
        <f t="shared" si="1"/>
        <v>0</v>
      </c>
      <c r="R16" s="34"/>
      <c r="S16" s="34">
        <f t="shared" si="0"/>
        <v>0</v>
      </c>
      <c r="T16" s="34">
        <f>[1]Черн!CD13</f>
        <v>19177.555210000002</v>
      </c>
      <c r="U16" s="34">
        <f>[1]Черн!CE13</f>
        <v>0</v>
      </c>
      <c r="V16" s="34">
        <f>[1]Черн!CF13</f>
        <v>19177.555210000002</v>
      </c>
      <c r="W16" s="34">
        <f>[1]Черн!CK13</f>
        <v>0</v>
      </c>
      <c r="X16" s="34">
        <f>[1]Черн!CL13</f>
        <v>0</v>
      </c>
      <c r="Y16" s="34">
        <f>[1]Черн!CM13</f>
        <v>0</v>
      </c>
      <c r="Z16" s="353">
        <f t="shared" si="2"/>
        <v>0</v>
      </c>
      <c r="AA16" s="34"/>
      <c r="AB16" s="50">
        <f t="shared" si="3"/>
        <v>0</v>
      </c>
    </row>
    <row r="17" spans="1:28" x14ac:dyDescent="0.3">
      <c r="A17" s="362" t="s">
        <v>170</v>
      </c>
      <c r="B17" s="34">
        <f>[1]Черн!AV14</f>
        <v>0</v>
      </c>
      <c r="C17" s="34">
        <f>[1]Черн!AW14</f>
        <v>0</v>
      </c>
      <c r="D17" s="34">
        <f>[1]Черн!AX14</f>
        <v>0</v>
      </c>
      <c r="E17" s="34">
        <f>[1]Черн!BC14</f>
        <v>0</v>
      </c>
      <c r="F17" s="34">
        <f>[1]Черн!BD14</f>
        <v>0</v>
      </c>
      <c r="G17" s="34">
        <f>[1]Черн!BE14</f>
        <v>0</v>
      </c>
      <c r="H17" s="34"/>
      <c r="I17" s="34"/>
      <c r="J17" s="34"/>
      <c r="K17" s="34">
        <f>[1]Черн!BM14</f>
        <v>0</v>
      </c>
      <c r="L17" s="34">
        <f>[1]Черн!BN14</f>
        <v>0</v>
      </c>
      <c r="M17" s="34">
        <f>[1]Черн!BO14</f>
        <v>0</v>
      </c>
      <c r="N17" s="34">
        <f>[1]Черн!BT14</f>
        <v>0</v>
      </c>
      <c r="O17" s="34">
        <f>[1]Черн!BU14</f>
        <v>0</v>
      </c>
      <c r="P17" s="34">
        <f>[1]Черн!BV14</f>
        <v>0</v>
      </c>
      <c r="Q17" s="34"/>
      <c r="R17" s="34"/>
      <c r="S17" s="34"/>
      <c r="T17" s="34">
        <f>[1]Черн!CD14</f>
        <v>0</v>
      </c>
      <c r="U17" s="34">
        <f>[1]Черн!CE14</f>
        <v>0</v>
      </c>
      <c r="V17" s="34">
        <f>[1]Черн!CF14</f>
        <v>0</v>
      </c>
      <c r="W17" s="34">
        <f>[1]Черн!CK14</f>
        <v>0</v>
      </c>
      <c r="X17" s="34">
        <f>[1]Черн!CL14</f>
        <v>0</v>
      </c>
      <c r="Y17" s="34">
        <f>[1]Черн!CM14</f>
        <v>0</v>
      </c>
      <c r="Z17" s="34"/>
      <c r="AA17" s="34"/>
      <c r="AB17" s="50"/>
    </row>
    <row r="18" spans="1:28" x14ac:dyDescent="0.3">
      <c r="A18" s="362" t="s">
        <v>171</v>
      </c>
      <c r="B18" s="34">
        <f>[1]Черн!AV15</f>
        <v>2692.0497700000001</v>
      </c>
      <c r="C18" s="34">
        <f>[1]Черн!AW15</f>
        <v>1606</v>
      </c>
      <c r="D18" s="34">
        <f>[1]Черн!AX15</f>
        <v>1086.0497700000001</v>
      </c>
      <c r="E18" s="34">
        <f>[1]Черн!BC15</f>
        <v>1207.36418</v>
      </c>
      <c r="F18" s="34">
        <f>[1]Черн!BD15</f>
        <v>121.31441000000001</v>
      </c>
      <c r="G18" s="34">
        <f>[1]Черн!BE15</f>
        <v>1086.0497700000001</v>
      </c>
      <c r="H18" s="34">
        <f t="shared" si="4"/>
        <v>44.84925180265148</v>
      </c>
      <c r="I18" s="34">
        <f t="shared" si="4"/>
        <v>7.5538237858032389</v>
      </c>
      <c r="J18" s="34">
        <f t="shared" si="4"/>
        <v>99.999999999999986</v>
      </c>
      <c r="K18" s="34">
        <f>[1]Черн!BM15</f>
        <v>20640.514170000002</v>
      </c>
      <c r="L18" s="34">
        <f>[1]Черн!BN15</f>
        <v>19885.161800000002</v>
      </c>
      <c r="M18" s="34">
        <f>[1]Черн!BO15</f>
        <v>755.35236999999995</v>
      </c>
      <c r="N18" s="34">
        <f>[1]Черн!BT15</f>
        <v>755.35236999999995</v>
      </c>
      <c r="O18" s="34">
        <f>[1]Черн!BU15</f>
        <v>0</v>
      </c>
      <c r="P18" s="34">
        <f>[1]Черн!BV15</f>
        <v>755.35236999999995</v>
      </c>
      <c r="Q18" s="34">
        <f t="shared" si="1"/>
        <v>3.6595617908485458</v>
      </c>
      <c r="R18" s="34">
        <f t="shared" si="1"/>
        <v>0</v>
      </c>
      <c r="S18" s="34">
        <f t="shared" si="0"/>
        <v>100</v>
      </c>
      <c r="T18" s="34">
        <f>[1]Черн!CD15</f>
        <v>653.57789000000002</v>
      </c>
      <c r="U18" s="34">
        <f>[1]Черн!CE15</f>
        <v>0</v>
      </c>
      <c r="V18" s="34">
        <f>[1]Черн!CF15</f>
        <v>653.57789000000002</v>
      </c>
      <c r="W18" s="34">
        <f>[1]Черн!CK15</f>
        <v>653.57789000000002</v>
      </c>
      <c r="X18" s="34">
        <f>[1]Черн!CL15</f>
        <v>0</v>
      </c>
      <c r="Y18" s="34">
        <f>[1]Черн!CM15</f>
        <v>653.57789000000002</v>
      </c>
      <c r="Z18" s="353">
        <f t="shared" si="2"/>
        <v>100</v>
      </c>
      <c r="AA18" s="34"/>
      <c r="AB18" s="50">
        <f t="shared" si="3"/>
        <v>100</v>
      </c>
    </row>
    <row r="19" spans="1:28" x14ac:dyDescent="0.3">
      <c r="A19" s="362" t="s">
        <v>172</v>
      </c>
      <c r="B19" s="34">
        <f>[1]Черн!AV16</f>
        <v>0</v>
      </c>
      <c r="C19" s="34">
        <f>[1]Черн!AW16</f>
        <v>0</v>
      </c>
      <c r="D19" s="34">
        <f>[1]Черн!AX16</f>
        <v>0</v>
      </c>
      <c r="E19" s="34">
        <f>[1]Черн!BC16</f>
        <v>0</v>
      </c>
      <c r="F19" s="34">
        <f>[1]Черн!BD16</f>
        <v>0</v>
      </c>
      <c r="G19" s="34">
        <f>[1]Черн!BE16</f>
        <v>0</v>
      </c>
      <c r="H19" s="34"/>
      <c r="I19" s="34"/>
      <c r="J19" s="34"/>
      <c r="K19" s="34">
        <f>[1]Черн!BM16</f>
        <v>0</v>
      </c>
      <c r="L19" s="34">
        <f>[1]Черн!BN16</f>
        <v>0</v>
      </c>
      <c r="M19" s="34">
        <f>[1]Черн!BO16</f>
        <v>0</v>
      </c>
      <c r="N19" s="34">
        <f>[1]Черн!BT16</f>
        <v>0</v>
      </c>
      <c r="O19" s="34">
        <f>[1]Черн!BU16</f>
        <v>0</v>
      </c>
      <c r="P19" s="34">
        <f>[1]Черн!BV16</f>
        <v>0</v>
      </c>
      <c r="Q19" s="34"/>
      <c r="R19" s="34"/>
      <c r="S19" s="34"/>
      <c r="T19" s="34">
        <f>[1]Черн!CD16</f>
        <v>0</v>
      </c>
      <c r="U19" s="34">
        <f>[1]Черн!CE16</f>
        <v>0</v>
      </c>
      <c r="V19" s="34">
        <f>[1]Черн!CF16</f>
        <v>0</v>
      </c>
      <c r="W19" s="34">
        <f>[1]Черн!CK16</f>
        <v>0</v>
      </c>
      <c r="X19" s="34">
        <f>[1]Черн!CL16</f>
        <v>0</v>
      </c>
      <c r="Y19" s="34">
        <f>[1]Черн!CM16</f>
        <v>0</v>
      </c>
      <c r="Z19" s="34"/>
      <c r="AA19" s="34"/>
      <c r="AB19" s="50"/>
    </row>
    <row r="20" spans="1:28" x14ac:dyDescent="0.3">
      <c r="A20" s="362" t="s">
        <v>173</v>
      </c>
      <c r="B20" s="34">
        <f>[1]Черн!AV17</f>
        <v>0</v>
      </c>
      <c r="C20" s="34">
        <f>[1]Черн!AW17</f>
        <v>0</v>
      </c>
      <c r="D20" s="34">
        <f>[1]Черн!AX17</f>
        <v>0</v>
      </c>
      <c r="E20" s="34">
        <f>[1]Черн!BC17</f>
        <v>0</v>
      </c>
      <c r="F20" s="34">
        <f>[1]Черн!BD17</f>
        <v>0</v>
      </c>
      <c r="G20" s="34">
        <f>[1]Черн!BE17</f>
        <v>0</v>
      </c>
      <c r="H20" s="34"/>
      <c r="I20" s="34"/>
      <c r="J20" s="34"/>
      <c r="K20" s="34">
        <f>[1]Черн!BM17</f>
        <v>0</v>
      </c>
      <c r="L20" s="34">
        <f>[1]Черн!BN17</f>
        <v>0</v>
      </c>
      <c r="M20" s="34">
        <f>[1]Черн!BO17</f>
        <v>0</v>
      </c>
      <c r="N20" s="34">
        <f>[1]Черн!BT17</f>
        <v>0</v>
      </c>
      <c r="O20" s="34">
        <f>[1]Черн!BU17</f>
        <v>0</v>
      </c>
      <c r="P20" s="34">
        <f>[1]Черн!BV17</f>
        <v>0</v>
      </c>
      <c r="Q20" s="34"/>
      <c r="R20" s="34"/>
      <c r="S20" s="34"/>
      <c r="T20" s="34">
        <f>[1]Черн!CD17</f>
        <v>0</v>
      </c>
      <c r="U20" s="34">
        <f>[1]Черн!CE17</f>
        <v>0</v>
      </c>
      <c r="V20" s="34">
        <f>[1]Черн!CF17</f>
        <v>0</v>
      </c>
      <c r="W20" s="34">
        <f>[1]Черн!CK17</f>
        <v>0</v>
      </c>
      <c r="X20" s="34">
        <f>[1]Черн!CL17</f>
        <v>0</v>
      </c>
      <c r="Y20" s="34">
        <f>[1]Черн!CM17</f>
        <v>0</v>
      </c>
      <c r="Z20" s="34"/>
      <c r="AA20" s="34"/>
      <c r="AB20" s="50"/>
    </row>
    <row r="21" spans="1:28" x14ac:dyDescent="0.3">
      <c r="A21" s="362" t="s">
        <v>174</v>
      </c>
      <c r="B21" s="34">
        <f>[1]Черн!AV18</f>
        <v>9293.1975899999998</v>
      </c>
      <c r="C21" s="34">
        <f>[1]Черн!AW18</f>
        <v>0</v>
      </c>
      <c r="D21" s="34">
        <f>[1]Черн!AX18</f>
        <v>9293.1975899999998</v>
      </c>
      <c r="E21" s="34">
        <f>[1]Черн!BC18</f>
        <v>9293.1975899999998</v>
      </c>
      <c r="F21" s="34">
        <f>[1]Черн!BD18</f>
        <v>0</v>
      </c>
      <c r="G21" s="34">
        <f>[1]Черн!BE18</f>
        <v>9293.1975899999998</v>
      </c>
      <c r="H21" s="353">
        <f t="shared" si="4"/>
        <v>100</v>
      </c>
      <c r="I21" s="34"/>
      <c r="J21" s="34">
        <f t="shared" si="4"/>
        <v>100</v>
      </c>
      <c r="K21" s="34">
        <f>[1]Черн!BM18</f>
        <v>59691.283100000001</v>
      </c>
      <c r="L21" s="34">
        <f>[1]Черн!BN18</f>
        <v>50861.3802</v>
      </c>
      <c r="M21" s="34">
        <f>[1]Черн!BO18</f>
        <v>8829.902900000001</v>
      </c>
      <c r="N21" s="34">
        <f>[1]Черн!BT18</f>
        <v>3923.511</v>
      </c>
      <c r="O21" s="34">
        <f>[1]Черн!BU18</f>
        <v>0</v>
      </c>
      <c r="P21" s="34">
        <f>[1]Черн!BV18</f>
        <v>3923.511</v>
      </c>
      <c r="Q21" s="34">
        <f t="shared" si="1"/>
        <v>6.5730049619255047</v>
      </c>
      <c r="R21" s="34">
        <f t="shared" si="1"/>
        <v>0</v>
      </c>
      <c r="S21" s="34">
        <f t="shared" si="0"/>
        <v>44.434361786696428</v>
      </c>
      <c r="T21" s="34">
        <f>[1]Черн!CD18</f>
        <v>0</v>
      </c>
      <c r="U21" s="34">
        <f>[1]Черн!CE18</f>
        <v>0</v>
      </c>
      <c r="V21" s="34">
        <f>[1]Черн!CF18</f>
        <v>0</v>
      </c>
      <c r="W21" s="34">
        <f>[1]Черн!CK18</f>
        <v>0</v>
      </c>
      <c r="X21" s="34">
        <f>[1]Черн!CL18</f>
        <v>0</v>
      </c>
      <c r="Y21" s="34">
        <f>[1]Черн!CM18</f>
        <v>0</v>
      </c>
      <c r="Z21" s="34"/>
      <c r="AA21" s="34"/>
      <c r="AB21" s="50"/>
    </row>
    <row r="22" spans="1:28" x14ac:dyDescent="0.3">
      <c r="A22" s="362" t="s">
        <v>175</v>
      </c>
      <c r="B22" s="34">
        <f>[1]Черн!AV19</f>
        <v>0</v>
      </c>
      <c r="C22" s="34">
        <f>[1]Черн!AW19</f>
        <v>0</v>
      </c>
      <c r="D22" s="34">
        <f>[1]Черн!AX19</f>
        <v>0</v>
      </c>
      <c r="E22" s="34">
        <f>[1]Черн!BC19</f>
        <v>0</v>
      </c>
      <c r="F22" s="34">
        <f>[1]Черн!BD19</f>
        <v>0</v>
      </c>
      <c r="G22" s="34">
        <f>[1]Черн!BE19</f>
        <v>0</v>
      </c>
      <c r="H22" s="353"/>
      <c r="I22" s="34"/>
      <c r="J22" s="34"/>
      <c r="K22" s="34">
        <f>[1]Черн!BM19</f>
        <v>166830.38713999998</v>
      </c>
      <c r="L22" s="34">
        <f>[1]Черн!BN19</f>
        <v>25940.41747</v>
      </c>
      <c r="M22" s="34">
        <f>[1]Черн!BO19</f>
        <v>140889.96966999999</v>
      </c>
      <c r="N22" s="34">
        <f>[1]Черн!BT19</f>
        <v>37308.511079999997</v>
      </c>
      <c r="O22" s="34">
        <f>[1]Черн!BU19</f>
        <v>925.70406000000003</v>
      </c>
      <c r="P22" s="34">
        <f>[1]Черн!BV19</f>
        <v>36382.807019999993</v>
      </c>
      <c r="Q22" s="34">
        <f t="shared" si="1"/>
        <v>22.363138825957172</v>
      </c>
      <c r="R22" s="34">
        <f t="shared" si="1"/>
        <v>3.5685781120160209</v>
      </c>
      <c r="S22" s="34">
        <f t="shared" si="0"/>
        <v>25.823560829218536</v>
      </c>
      <c r="T22" s="34">
        <f>[1]Черн!CD19</f>
        <v>5477.5966600000002</v>
      </c>
      <c r="U22" s="34">
        <f>[1]Черн!CE19</f>
        <v>0</v>
      </c>
      <c r="V22" s="34">
        <f>[1]Черн!CF19</f>
        <v>5477.5966600000002</v>
      </c>
      <c r="W22" s="34">
        <f>[1]Черн!CK19</f>
        <v>5477.5966600000002</v>
      </c>
      <c r="X22" s="34">
        <f>[1]Черн!CL19</f>
        <v>0</v>
      </c>
      <c r="Y22" s="34">
        <f>[1]Черн!CM19</f>
        <v>5477.5966600000002</v>
      </c>
      <c r="Z22" s="353">
        <f t="shared" si="2"/>
        <v>100</v>
      </c>
      <c r="AA22" s="34"/>
      <c r="AB22" s="50">
        <f t="shared" si="3"/>
        <v>100</v>
      </c>
    </row>
    <row r="23" spans="1:28" x14ac:dyDescent="0.3">
      <c r="A23" s="362" t="s">
        <v>176</v>
      </c>
      <c r="B23" s="34">
        <f>[1]Черн!AV20</f>
        <v>0</v>
      </c>
      <c r="C23" s="34">
        <f>[1]Черн!AW20</f>
        <v>0</v>
      </c>
      <c r="D23" s="34">
        <f>[1]Черн!AX20</f>
        <v>0</v>
      </c>
      <c r="E23" s="34">
        <f>[1]Черн!BC20</f>
        <v>0</v>
      </c>
      <c r="F23" s="34">
        <f>[1]Черн!BD20</f>
        <v>0</v>
      </c>
      <c r="G23" s="34">
        <f>[1]Черн!BE20</f>
        <v>0</v>
      </c>
      <c r="H23" s="353"/>
      <c r="I23" s="34"/>
      <c r="J23" s="34"/>
      <c r="K23" s="34">
        <f>[1]Черн!BM20</f>
        <v>0</v>
      </c>
      <c r="L23" s="34">
        <f>[1]Черн!BN20</f>
        <v>0</v>
      </c>
      <c r="M23" s="34">
        <f>[1]Черн!BO20</f>
        <v>0</v>
      </c>
      <c r="N23" s="34">
        <f>[1]Черн!BT20</f>
        <v>0</v>
      </c>
      <c r="O23" s="34">
        <f>[1]Черн!BU20</f>
        <v>0</v>
      </c>
      <c r="P23" s="34">
        <f>[1]Черн!BV20</f>
        <v>0</v>
      </c>
      <c r="Q23" s="34"/>
      <c r="R23" s="34"/>
      <c r="S23" s="34"/>
      <c r="T23" s="34">
        <f>[1]Черн!CD20</f>
        <v>0</v>
      </c>
      <c r="U23" s="34">
        <f>[1]Черн!CE20</f>
        <v>0</v>
      </c>
      <c r="V23" s="34">
        <f>[1]Черн!CF20</f>
        <v>0</v>
      </c>
      <c r="W23" s="34">
        <f>[1]Черн!CK20</f>
        <v>0</v>
      </c>
      <c r="X23" s="34">
        <f>[1]Черн!CL20</f>
        <v>0</v>
      </c>
      <c r="Y23" s="34">
        <f>[1]Черн!CM20</f>
        <v>0</v>
      </c>
      <c r="Z23" s="34"/>
      <c r="AA23" s="34"/>
      <c r="AB23" s="50"/>
    </row>
    <row r="24" spans="1:28" x14ac:dyDescent="0.3">
      <c r="A24" s="362" t="s">
        <v>177</v>
      </c>
      <c r="B24" s="34">
        <f>[1]Черн!AV21</f>
        <v>2454</v>
      </c>
      <c r="C24" s="34">
        <f>[1]Черн!AW21</f>
        <v>0</v>
      </c>
      <c r="D24" s="34">
        <f>[1]Черн!AX21</f>
        <v>2454</v>
      </c>
      <c r="E24" s="34">
        <f>[1]Черн!BC21</f>
        <v>2453.9127000000003</v>
      </c>
      <c r="F24" s="34">
        <f>[1]Черн!BD21</f>
        <v>0</v>
      </c>
      <c r="G24" s="34">
        <f>[1]Черн!BE21</f>
        <v>2453.9127000000003</v>
      </c>
      <c r="H24" s="353">
        <f t="shared" si="4"/>
        <v>99.996442542787307</v>
      </c>
      <c r="I24" s="34"/>
      <c r="J24" s="34">
        <f t="shared" si="4"/>
        <v>99.996442542787307</v>
      </c>
      <c r="K24" s="34">
        <f>[1]Черн!BM21</f>
        <v>112753.768</v>
      </c>
      <c r="L24" s="34">
        <f>[1]Черн!BN21</f>
        <v>7191.2820000000002</v>
      </c>
      <c r="M24" s="34">
        <f>[1]Черн!BO21</f>
        <v>105562.486</v>
      </c>
      <c r="N24" s="34">
        <f>[1]Черн!BT21</f>
        <v>1736.92</v>
      </c>
      <c r="O24" s="34">
        <f>[1]Черн!BU21</f>
        <v>0</v>
      </c>
      <c r="P24" s="34">
        <f>[1]Черн!BV21</f>
        <v>1736.92</v>
      </c>
      <c r="Q24" s="34">
        <f t="shared" si="1"/>
        <v>1.5404540626970447</v>
      </c>
      <c r="R24" s="34">
        <f t="shared" si="1"/>
        <v>0</v>
      </c>
      <c r="S24" s="34">
        <f t="shared" si="0"/>
        <v>1.6453951264467188</v>
      </c>
      <c r="T24" s="34">
        <f>[1]Черн!CD21</f>
        <v>0</v>
      </c>
      <c r="U24" s="34">
        <f>[1]Черн!CE21</f>
        <v>0</v>
      </c>
      <c r="V24" s="34">
        <f>[1]Черн!CF21</f>
        <v>0</v>
      </c>
      <c r="W24" s="34">
        <f>[1]Черн!CK21</f>
        <v>0</v>
      </c>
      <c r="X24" s="34">
        <f>[1]Черн!CL21</f>
        <v>0</v>
      </c>
      <c r="Y24" s="34">
        <f>[1]Черн!CM21</f>
        <v>0</v>
      </c>
      <c r="Z24" s="34"/>
      <c r="AA24" s="34"/>
      <c r="AB24" s="50"/>
    </row>
    <row r="25" spans="1:28" x14ac:dyDescent="0.3">
      <c r="A25" s="362" t="s">
        <v>178</v>
      </c>
      <c r="B25" s="34">
        <f>[1]Черн!AV22</f>
        <v>2182.53298</v>
      </c>
      <c r="C25" s="34">
        <f>[1]Черн!AW22</f>
        <v>0</v>
      </c>
      <c r="D25" s="34">
        <f>[1]Черн!AX22</f>
        <v>2182.53298</v>
      </c>
      <c r="E25" s="34">
        <f>[1]Черн!BC22</f>
        <v>2182.53298</v>
      </c>
      <c r="F25" s="34">
        <f>[1]Черн!BD22</f>
        <v>0</v>
      </c>
      <c r="G25" s="34">
        <f>[1]Черн!BE22</f>
        <v>2182.53298</v>
      </c>
      <c r="H25" s="353">
        <f t="shared" si="4"/>
        <v>100</v>
      </c>
      <c r="I25" s="34"/>
      <c r="J25" s="34">
        <f t="shared" si="4"/>
        <v>100</v>
      </c>
      <c r="K25" s="34">
        <f>[1]Черн!BM22</f>
        <v>0</v>
      </c>
      <c r="L25" s="34">
        <f>[1]Черн!BN22</f>
        <v>0</v>
      </c>
      <c r="M25" s="34">
        <f>[1]Черн!BO22</f>
        <v>0</v>
      </c>
      <c r="N25" s="34">
        <f>[1]Черн!BT22</f>
        <v>0</v>
      </c>
      <c r="O25" s="34">
        <f>[1]Черн!BU22</f>
        <v>0</v>
      </c>
      <c r="P25" s="34">
        <f>[1]Черн!BV22</f>
        <v>0</v>
      </c>
      <c r="Q25" s="34"/>
      <c r="R25" s="34"/>
      <c r="S25" s="34"/>
      <c r="T25" s="34">
        <f>[1]Черн!CD22</f>
        <v>2313.3049999999998</v>
      </c>
      <c r="U25" s="34">
        <f>[1]Черн!CE22</f>
        <v>0</v>
      </c>
      <c r="V25" s="34">
        <f>[1]Черн!CF22</f>
        <v>2313.3049999999998</v>
      </c>
      <c r="W25" s="34">
        <f>[1]Черн!CK22</f>
        <v>0</v>
      </c>
      <c r="X25" s="34">
        <f>[1]Черн!CL22</f>
        <v>0</v>
      </c>
      <c r="Y25" s="34">
        <f>[1]Черн!CM22</f>
        <v>0</v>
      </c>
      <c r="Z25" s="353">
        <f t="shared" si="2"/>
        <v>0</v>
      </c>
      <c r="AA25" s="34"/>
      <c r="AB25" s="50">
        <f t="shared" si="3"/>
        <v>0</v>
      </c>
    </row>
    <row r="26" spans="1:28" x14ac:dyDescent="0.3">
      <c r="A26" s="362" t="s">
        <v>179</v>
      </c>
      <c r="B26" s="34">
        <f>[1]Черн!AV23</f>
        <v>0</v>
      </c>
      <c r="C26" s="34">
        <f>[1]Черн!AW23</f>
        <v>0</v>
      </c>
      <c r="D26" s="34">
        <f>[1]Черн!AX23</f>
        <v>0</v>
      </c>
      <c r="E26" s="34">
        <f>[1]Черн!BC23</f>
        <v>0</v>
      </c>
      <c r="F26" s="34">
        <f>[1]Черн!BD23</f>
        <v>0</v>
      </c>
      <c r="G26" s="34">
        <f>[1]Черн!BE23</f>
        <v>0</v>
      </c>
      <c r="H26" s="34"/>
      <c r="I26" s="34"/>
      <c r="J26" s="34"/>
      <c r="K26" s="34">
        <f>[1]Черн!BM23</f>
        <v>0</v>
      </c>
      <c r="L26" s="34">
        <f>[1]Черн!BN23</f>
        <v>0</v>
      </c>
      <c r="M26" s="34">
        <f>[1]Черн!BO23</f>
        <v>0</v>
      </c>
      <c r="N26" s="34">
        <f>[1]Черн!BT23</f>
        <v>0</v>
      </c>
      <c r="O26" s="34">
        <f>[1]Черн!BU23</f>
        <v>0</v>
      </c>
      <c r="P26" s="34">
        <f>[1]Черн!BV23</f>
        <v>0</v>
      </c>
      <c r="Q26" s="34"/>
      <c r="R26" s="34"/>
      <c r="S26" s="34"/>
      <c r="T26" s="34">
        <f>[1]Черн!CD23</f>
        <v>21972.779289999999</v>
      </c>
      <c r="U26" s="34">
        <f>[1]Черн!CE23</f>
        <v>0</v>
      </c>
      <c r="V26" s="34">
        <f>[1]Черн!CF23</f>
        <v>21972.779289999999</v>
      </c>
      <c r="W26" s="34">
        <f>[1]Черн!CK23</f>
        <v>20028.20937</v>
      </c>
      <c r="X26" s="34">
        <f>[1]Черн!CL23</f>
        <v>0</v>
      </c>
      <c r="Y26" s="34">
        <f>[1]Черн!CM23</f>
        <v>20028.20937</v>
      </c>
      <c r="Z26" s="34">
        <f t="shared" si="2"/>
        <v>91.150095787450113</v>
      </c>
      <c r="AA26" s="34"/>
      <c r="AB26" s="50">
        <f t="shared" si="3"/>
        <v>91.150095787450113</v>
      </c>
    </row>
    <row r="27" spans="1:28" x14ac:dyDescent="0.3">
      <c r="A27" s="362" t="s">
        <v>180</v>
      </c>
      <c r="B27" s="34">
        <f>[1]Черн!AV24</f>
        <v>0</v>
      </c>
      <c r="C27" s="34">
        <f>[1]Черн!AW24</f>
        <v>0</v>
      </c>
      <c r="D27" s="34">
        <f>[1]Черн!AX24</f>
        <v>0</v>
      </c>
      <c r="E27" s="34">
        <f>[1]Черн!BC24</f>
        <v>0</v>
      </c>
      <c r="F27" s="34">
        <f>[1]Черн!BD24</f>
        <v>0</v>
      </c>
      <c r="G27" s="34">
        <f>[1]Черн!BE24</f>
        <v>0</v>
      </c>
      <c r="H27" s="34"/>
      <c r="I27" s="34"/>
      <c r="J27" s="34"/>
      <c r="K27" s="34">
        <f>[1]Черн!BM24</f>
        <v>171216.49182999998</v>
      </c>
      <c r="L27" s="34">
        <f>[1]Черн!BN24</f>
        <v>0</v>
      </c>
      <c r="M27" s="34">
        <f>[1]Черн!BO24</f>
        <v>171216.49182999998</v>
      </c>
      <c r="N27" s="34">
        <f>[1]Черн!BT24</f>
        <v>43877.322999999997</v>
      </c>
      <c r="O27" s="34">
        <f>[1]Черн!BU24</f>
        <v>0</v>
      </c>
      <c r="P27" s="34">
        <f>[1]Черн!BV24</f>
        <v>43877.322999999997</v>
      </c>
      <c r="Q27" s="34">
        <f t="shared" si="1"/>
        <v>25.626808802720696</v>
      </c>
      <c r="R27" s="34"/>
      <c r="S27" s="34">
        <f t="shared" si="0"/>
        <v>25.626808802720696</v>
      </c>
      <c r="T27" s="34">
        <f>[1]Черн!CD24</f>
        <v>0</v>
      </c>
      <c r="U27" s="34">
        <f>[1]Черн!CE24</f>
        <v>0</v>
      </c>
      <c r="V27" s="34">
        <f>[1]Черн!CF24</f>
        <v>0</v>
      </c>
      <c r="W27" s="34">
        <f>[1]Черн!CK24</f>
        <v>0</v>
      </c>
      <c r="X27" s="34">
        <f>[1]Черн!CL24</f>
        <v>0</v>
      </c>
      <c r="Y27" s="34">
        <f>[1]Черн!CM24</f>
        <v>0</v>
      </c>
      <c r="Z27" s="34"/>
      <c r="AA27" s="34"/>
      <c r="AB27" s="50"/>
    </row>
    <row r="28" spans="1:28" x14ac:dyDescent="0.3">
      <c r="A28" s="362" t="s">
        <v>181</v>
      </c>
      <c r="B28" s="34">
        <f>[1]Черн!AV25</f>
        <v>0</v>
      </c>
      <c r="C28" s="34">
        <f>[1]Черн!AW25</f>
        <v>0</v>
      </c>
      <c r="D28" s="34">
        <f>[1]Черн!AX25</f>
        <v>0</v>
      </c>
      <c r="E28" s="34">
        <f>[1]Черн!BC25</f>
        <v>0</v>
      </c>
      <c r="F28" s="34">
        <f>[1]Черн!BD25</f>
        <v>0</v>
      </c>
      <c r="G28" s="34">
        <f>[1]Черн!BE25</f>
        <v>0</v>
      </c>
      <c r="H28" s="34"/>
      <c r="I28" s="34"/>
      <c r="J28" s="34"/>
      <c r="K28" s="34">
        <f>[1]Черн!BM25</f>
        <v>0</v>
      </c>
      <c r="L28" s="34">
        <f>[1]Черн!BN25</f>
        <v>0</v>
      </c>
      <c r="M28" s="34">
        <f>[1]Черн!BO25</f>
        <v>0</v>
      </c>
      <c r="N28" s="34">
        <f>[1]Черн!BT25</f>
        <v>0</v>
      </c>
      <c r="O28" s="34">
        <f>[1]Черн!BU25</f>
        <v>0</v>
      </c>
      <c r="P28" s="34">
        <f>[1]Черн!BV25</f>
        <v>0</v>
      </c>
      <c r="Q28" s="34"/>
      <c r="R28" s="34"/>
      <c r="S28" s="34"/>
      <c r="T28" s="34">
        <f>[1]Черн!CD25</f>
        <v>0</v>
      </c>
      <c r="U28" s="34">
        <f>[1]Черн!CE25</f>
        <v>0</v>
      </c>
      <c r="V28" s="34">
        <f>[1]Черн!CF25</f>
        <v>0</v>
      </c>
      <c r="W28" s="34">
        <f>[1]Черн!CK25</f>
        <v>0</v>
      </c>
      <c r="X28" s="34">
        <f>[1]Черн!CL25</f>
        <v>0</v>
      </c>
      <c r="Y28" s="34">
        <f>[1]Черн!CM25</f>
        <v>0</v>
      </c>
      <c r="Z28" s="34"/>
      <c r="AA28" s="34"/>
      <c r="AB28" s="50"/>
    </row>
    <row r="29" spans="1:28" x14ac:dyDescent="0.3">
      <c r="A29" s="362" t="s">
        <v>182</v>
      </c>
      <c r="B29" s="34">
        <f>[1]Черн!AV26</f>
        <v>150.80000000000001</v>
      </c>
      <c r="C29" s="34">
        <f>[1]Черн!AW26</f>
        <v>150.80000000000001</v>
      </c>
      <c r="D29" s="34">
        <f>[1]Черн!AX26</f>
        <v>0</v>
      </c>
      <c r="E29" s="34">
        <f>[1]Черн!BC26</f>
        <v>0</v>
      </c>
      <c r="F29" s="34">
        <f>[1]Черн!BD26</f>
        <v>0</v>
      </c>
      <c r="G29" s="34">
        <f>[1]Черн!BE26</f>
        <v>0</v>
      </c>
      <c r="H29" s="353">
        <f t="shared" si="4"/>
        <v>0</v>
      </c>
      <c r="I29" s="34">
        <f t="shared" si="4"/>
        <v>0</v>
      </c>
      <c r="J29" s="34"/>
      <c r="K29" s="34">
        <f>[1]Черн!BM26</f>
        <v>0</v>
      </c>
      <c r="L29" s="34">
        <f>[1]Черн!BN26</f>
        <v>0</v>
      </c>
      <c r="M29" s="34">
        <f>[1]Черн!BO26</f>
        <v>0</v>
      </c>
      <c r="N29" s="34">
        <f>[1]Черн!BT26</f>
        <v>0</v>
      </c>
      <c r="O29" s="34">
        <f>[1]Черн!BU26</f>
        <v>0</v>
      </c>
      <c r="P29" s="34">
        <f>[1]Черн!BV26</f>
        <v>0</v>
      </c>
      <c r="Q29" s="34"/>
      <c r="R29" s="34"/>
      <c r="S29" s="34"/>
      <c r="T29" s="34">
        <f>[1]Черн!CD26</f>
        <v>272</v>
      </c>
      <c r="U29" s="34">
        <f>[1]Черн!CE26</f>
        <v>272</v>
      </c>
      <c r="V29" s="34">
        <f>[1]Черн!CF26</f>
        <v>0</v>
      </c>
      <c r="W29" s="34">
        <f>[1]Черн!CK26</f>
        <v>271.99090999999999</v>
      </c>
      <c r="X29" s="34">
        <f>[1]Черн!CL26</f>
        <v>271.99090999999999</v>
      </c>
      <c r="Y29" s="34">
        <f>[1]Черн!CM26</f>
        <v>0</v>
      </c>
      <c r="Z29" s="353">
        <f t="shared" si="2"/>
        <v>99.996658088235279</v>
      </c>
      <c r="AA29" s="34">
        <f t="shared" si="2"/>
        <v>99.996658088235279</v>
      </c>
      <c r="AB29" s="50"/>
    </row>
    <row r="30" spans="1:28" x14ac:dyDescent="0.3">
      <c r="A30" s="362" t="s">
        <v>183</v>
      </c>
      <c r="B30" s="34">
        <f>[1]Черн!AV27</f>
        <v>0</v>
      </c>
      <c r="C30" s="34">
        <f>[1]Черн!AW27</f>
        <v>0</v>
      </c>
      <c r="D30" s="34">
        <f>[1]Черн!AX27</f>
        <v>0</v>
      </c>
      <c r="E30" s="34">
        <f>[1]Черн!BC27</f>
        <v>0</v>
      </c>
      <c r="F30" s="34">
        <f>[1]Черн!BD27</f>
        <v>0</v>
      </c>
      <c r="G30" s="34">
        <f>[1]Черн!BE27</f>
        <v>0</v>
      </c>
      <c r="H30" s="34"/>
      <c r="I30" s="34"/>
      <c r="J30" s="34"/>
      <c r="K30" s="34">
        <f>[1]Черн!BM27</f>
        <v>483723.81115999998</v>
      </c>
      <c r="L30" s="34">
        <f>[1]Черн!BN27</f>
        <v>483723.81115999998</v>
      </c>
      <c r="M30" s="34">
        <f>[1]Черн!BO27</f>
        <v>0</v>
      </c>
      <c r="N30" s="34">
        <f>[1]Черн!BT27</f>
        <v>184146.80070999998</v>
      </c>
      <c r="O30" s="34">
        <f>[1]Черн!BU27</f>
        <v>184146.80070999998</v>
      </c>
      <c r="P30" s="34">
        <f>[1]Черн!BV27</f>
        <v>0</v>
      </c>
      <c r="Q30" s="34">
        <f t="shared" si="1"/>
        <v>38.068583034687592</v>
      </c>
      <c r="R30" s="34">
        <f t="shared" si="1"/>
        <v>38.068583034687592</v>
      </c>
      <c r="S30" s="34"/>
      <c r="T30" s="34">
        <f>[1]Черн!CD27</f>
        <v>0</v>
      </c>
      <c r="U30" s="34">
        <f>[1]Черн!CE27</f>
        <v>0</v>
      </c>
      <c r="V30" s="34">
        <f>[1]Черн!CF27</f>
        <v>0</v>
      </c>
      <c r="W30" s="34">
        <f>[1]Черн!CK27</f>
        <v>0</v>
      </c>
      <c r="X30" s="34">
        <f>[1]Черн!CL27</f>
        <v>0</v>
      </c>
      <c r="Y30" s="34">
        <f>[1]Черн!CM27</f>
        <v>0</v>
      </c>
      <c r="Z30" s="34"/>
      <c r="AA30" s="34"/>
      <c r="AB30" s="50"/>
    </row>
    <row r="31" spans="1:28" x14ac:dyDescent="0.3">
      <c r="A31" s="362" t="s">
        <v>184</v>
      </c>
      <c r="B31" s="34">
        <f>[1]Черн!AV28</f>
        <v>0</v>
      </c>
      <c r="C31" s="34">
        <f>[1]Черн!AW28</f>
        <v>0</v>
      </c>
      <c r="D31" s="34">
        <f>[1]Черн!AX28</f>
        <v>0</v>
      </c>
      <c r="E31" s="34">
        <f>[1]Черн!BC28</f>
        <v>0</v>
      </c>
      <c r="F31" s="34">
        <f>[1]Черн!BD28</f>
        <v>0</v>
      </c>
      <c r="G31" s="34">
        <f>[1]Черн!BE28</f>
        <v>0</v>
      </c>
      <c r="H31" s="34"/>
      <c r="I31" s="34"/>
      <c r="J31" s="34"/>
      <c r="K31" s="34">
        <f>[1]Черн!BM28</f>
        <v>0</v>
      </c>
      <c r="L31" s="34">
        <f>[1]Черн!BN28</f>
        <v>0</v>
      </c>
      <c r="M31" s="34">
        <f>[1]Черн!BO28</f>
        <v>0</v>
      </c>
      <c r="N31" s="34">
        <f>[1]Черн!BT28</f>
        <v>0</v>
      </c>
      <c r="O31" s="34">
        <f>[1]Черн!BU28</f>
        <v>0</v>
      </c>
      <c r="P31" s="34">
        <f>[1]Черн!BV28</f>
        <v>0</v>
      </c>
      <c r="Q31" s="34"/>
      <c r="R31" s="34"/>
      <c r="S31" s="34"/>
      <c r="T31" s="34">
        <f>[1]Черн!CD28</f>
        <v>413</v>
      </c>
      <c r="U31" s="34">
        <f>[1]Черн!CE28</f>
        <v>413</v>
      </c>
      <c r="V31" s="34">
        <f>[1]Черн!CF28</f>
        <v>0</v>
      </c>
      <c r="W31" s="34">
        <f>[1]Черн!CK28</f>
        <v>138.74350000000001</v>
      </c>
      <c r="X31" s="34">
        <f>[1]Черн!CL28</f>
        <v>138.74350000000001</v>
      </c>
      <c r="Y31" s="34">
        <f>[1]Черн!CM28</f>
        <v>0</v>
      </c>
      <c r="Z31" s="34">
        <f t="shared" si="2"/>
        <v>33.594067796610176</v>
      </c>
      <c r="AA31" s="34">
        <f t="shared" si="2"/>
        <v>33.594067796610176</v>
      </c>
      <c r="AB31" s="50"/>
    </row>
    <row r="32" spans="1:28" x14ac:dyDescent="0.3">
      <c r="A32" s="362" t="s">
        <v>185</v>
      </c>
      <c r="B32" s="34">
        <f>[1]Черн!AV29</f>
        <v>0</v>
      </c>
      <c r="C32" s="34">
        <f>[1]Черн!AW29</f>
        <v>0</v>
      </c>
      <c r="D32" s="34">
        <f>[1]Черн!AX29</f>
        <v>0</v>
      </c>
      <c r="E32" s="34">
        <f>[1]Черн!BC29</f>
        <v>0</v>
      </c>
      <c r="F32" s="34">
        <f>[1]Черн!BD29</f>
        <v>0</v>
      </c>
      <c r="G32" s="34">
        <f>[1]Черн!BE29</f>
        <v>0</v>
      </c>
      <c r="H32" s="34"/>
      <c r="I32" s="34"/>
      <c r="J32" s="34"/>
      <c r="K32" s="34">
        <f>[1]Черн!BM29</f>
        <v>6914</v>
      </c>
      <c r="L32" s="34">
        <f>[1]Черн!BN29</f>
        <v>6914</v>
      </c>
      <c r="M32" s="34">
        <f>[1]Черн!BO29</f>
        <v>0</v>
      </c>
      <c r="N32" s="34">
        <f>[1]Черн!BT29</f>
        <v>5581.4084999999995</v>
      </c>
      <c r="O32" s="34">
        <f>[1]Черн!BU29</f>
        <v>5581.4084999999995</v>
      </c>
      <c r="P32" s="34">
        <f>[1]Черн!BV29</f>
        <v>0</v>
      </c>
      <c r="Q32" s="34">
        <f t="shared" si="1"/>
        <v>80.72618599942146</v>
      </c>
      <c r="R32" s="34">
        <f t="shared" si="1"/>
        <v>80.72618599942146</v>
      </c>
      <c r="S32" s="34"/>
      <c r="T32" s="34">
        <f>[1]Черн!CD29</f>
        <v>0</v>
      </c>
      <c r="U32" s="34">
        <f>[1]Черн!CE29</f>
        <v>0</v>
      </c>
      <c r="V32" s="34">
        <f>[1]Черн!CF29</f>
        <v>0</v>
      </c>
      <c r="W32" s="34">
        <f>[1]Черн!CK29</f>
        <v>0</v>
      </c>
      <c r="X32" s="34">
        <f>[1]Черн!CL29</f>
        <v>0</v>
      </c>
      <c r="Y32" s="34">
        <f>[1]Черн!CM29</f>
        <v>0</v>
      </c>
      <c r="Z32" s="34"/>
      <c r="AA32" s="34"/>
      <c r="AB32" s="50"/>
    </row>
    <row r="33" spans="1:28" x14ac:dyDescent="0.3">
      <c r="A33" s="362" t="s">
        <v>186</v>
      </c>
      <c r="B33" s="34">
        <f>[1]Черн!AV30</f>
        <v>0</v>
      </c>
      <c r="C33" s="34">
        <f>[1]Черн!AW30</f>
        <v>0</v>
      </c>
      <c r="D33" s="34">
        <f>[1]Черн!AX30</f>
        <v>0</v>
      </c>
      <c r="E33" s="34">
        <f>[1]Черн!BC30</f>
        <v>0</v>
      </c>
      <c r="F33" s="34">
        <f>[1]Черн!BD30</f>
        <v>0</v>
      </c>
      <c r="G33" s="34">
        <f>[1]Черн!BE30</f>
        <v>0</v>
      </c>
      <c r="H33" s="34"/>
      <c r="I33" s="34"/>
      <c r="J33" s="34"/>
      <c r="K33" s="34">
        <f>[1]Черн!BM30</f>
        <v>0</v>
      </c>
      <c r="L33" s="34">
        <f>[1]Черн!BN30</f>
        <v>0</v>
      </c>
      <c r="M33" s="34">
        <f>[1]Черн!BO30</f>
        <v>0</v>
      </c>
      <c r="N33" s="34">
        <f>[1]Черн!BT30</f>
        <v>0</v>
      </c>
      <c r="O33" s="34">
        <f>[1]Черн!BU30</f>
        <v>0</v>
      </c>
      <c r="P33" s="34">
        <f>[1]Черн!BV30</f>
        <v>0</v>
      </c>
      <c r="Q33" s="34"/>
      <c r="R33" s="34"/>
      <c r="S33" s="34"/>
      <c r="T33" s="34">
        <f>[1]Черн!CD30</f>
        <v>0</v>
      </c>
      <c r="U33" s="34">
        <f>[1]Черн!CE30</f>
        <v>0</v>
      </c>
      <c r="V33" s="34">
        <f>[1]Черн!CF30</f>
        <v>0</v>
      </c>
      <c r="W33" s="34">
        <f>[1]Черн!CK30</f>
        <v>0</v>
      </c>
      <c r="X33" s="34">
        <f>[1]Черн!CL30</f>
        <v>0</v>
      </c>
      <c r="Y33" s="34">
        <f>[1]Черн!CM30</f>
        <v>0</v>
      </c>
      <c r="Z33" s="34"/>
      <c r="AA33" s="34"/>
      <c r="AB33" s="50"/>
    </row>
    <row r="34" spans="1:28" x14ac:dyDescent="0.3">
      <c r="A34" s="362" t="s">
        <v>187</v>
      </c>
      <c r="B34" s="34">
        <f>[1]Черн!AV31</f>
        <v>0</v>
      </c>
      <c r="C34" s="34">
        <f>[1]Черн!AW31</f>
        <v>0</v>
      </c>
      <c r="D34" s="34">
        <f>[1]Черн!AX31</f>
        <v>0</v>
      </c>
      <c r="E34" s="34">
        <f>[1]Черн!BC31</f>
        <v>0</v>
      </c>
      <c r="F34" s="34">
        <f>[1]Черн!BD31</f>
        <v>0</v>
      </c>
      <c r="G34" s="34">
        <f>[1]Черн!BE31</f>
        <v>0</v>
      </c>
      <c r="H34" s="34"/>
      <c r="I34" s="34"/>
      <c r="J34" s="34"/>
      <c r="K34" s="34">
        <f>[1]Черн!BM31</f>
        <v>0</v>
      </c>
      <c r="L34" s="34">
        <f>[1]Черн!BN31</f>
        <v>0</v>
      </c>
      <c r="M34" s="34">
        <f>[1]Черн!BO31</f>
        <v>0</v>
      </c>
      <c r="N34" s="34">
        <f>[1]Черн!BT31</f>
        <v>0</v>
      </c>
      <c r="O34" s="34">
        <f>[1]Черн!BU31</f>
        <v>0</v>
      </c>
      <c r="P34" s="34">
        <f>[1]Черн!BV31</f>
        <v>0</v>
      </c>
      <c r="Q34" s="34"/>
      <c r="R34" s="34"/>
      <c r="S34" s="34"/>
      <c r="T34" s="34">
        <f>[1]Черн!CD31</f>
        <v>0</v>
      </c>
      <c r="U34" s="34">
        <f>[1]Черн!CE31</f>
        <v>0</v>
      </c>
      <c r="V34" s="34">
        <f>[1]Черн!CF31</f>
        <v>0</v>
      </c>
      <c r="W34" s="34">
        <f>[1]Черн!CK31</f>
        <v>0</v>
      </c>
      <c r="X34" s="34">
        <f>[1]Черн!CL31</f>
        <v>0</v>
      </c>
      <c r="Y34" s="34">
        <f>[1]Черн!CM31</f>
        <v>0</v>
      </c>
      <c r="Z34" s="34"/>
      <c r="AA34" s="34"/>
      <c r="AB34" s="50"/>
    </row>
    <row r="35" spans="1:28" x14ac:dyDescent="0.3">
      <c r="A35" s="362" t="s">
        <v>188</v>
      </c>
      <c r="B35" s="34">
        <f>[1]Черн!AV32</f>
        <v>0</v>
      </c>
      <c r="C35" s="34">
        <f>[1]Черн!AW32</f>
        <v>0</v>
      </c>
      <c r="D35" s="34">
        <f>[1]Черн!AX32</f>
        <v>0</v>
      </c>
      <c r="E35" s="34">
        <f>[1]Черн!BC32</f>
        <v>0</v>
      </c>
      <c r="F35" s="34">
        <f>[1]Черн!BD32</f>
        <v>0</v>
      </c>
      <c r="G35" s="34">
        <f>[1]Черн!BE32</f>
        <v>0</v>
      </c>
      <c r="H35" s="34"/>
      <c r="I35" s="34"/>
      <c r="J35" s="34"/>
      <c r="K35" s="34">
        <f>[1]Черн!BM32</f>
        <v>0</v>
      </c>
      <c r="L35" s="34">
        <f>[1]Черн!BN32</f>
        <v>0</v>
      </c>
      <c r="M35" s="34">
        <f>[1]Черн!BO32</f>
        <v>0</v>
      </c>
      <c r="N35" s="34">
        <f>[1]Черн!BT32</f>
        <v>0</v>
      </c>
      <c r="O35" s="34">
        <f>[1]Черн!BU32</f>
        <v>0</v>
      </c>
      <c r="P35" s="34">
        <f>[1]Черн!BV32</f>
        <v>0</v>
      </c>
      <c r="Q35" s="34"/>
      <c r="R35" s="34"/>
      <c r="S35" s="34"/>
      <c r="T35" s="34">
        <f>[1]Черн!CD32</f>
        <v>0</v>
      </c>
      <c r="U35" s="34">
        <f>[1]Черн!CE32</f>
        <v>0</v>
      </c>
      <c r="V35" s="34">
        <f>[1]Черн!CF32</f>
        <v>0</v>
      </c>
      <c r="W35" s="34">
        <f>[1]Черн!CK32</f>
        <v>0</v>
      </c>
      <c r="X35" s="34">
        <f>[1]Черн!CL32</f>
        <v>0</v>
      </c>
      <c r="Y35" s="34">
        <f>[1]Черн!CM32</f>
        <v>0</v>
      </c>
      <c r="Z35" s="34"/>
      <c r="AA35" s="34"/>
      <c r="AB35" s="50"/>
    </row>
    <row r="36" spans="1:28" s="371" customFormat="1" x14ac:dyDescent="0.3">
      <c r="A36" s="363" t="s">
        <v>189</v>
      </c>
      <c r="B36" s="352">
        <f>[1]Черн!AV33</f>
        <v>20181.08034</v>
      </c>
      <c r="C36" s="352">
        <f>[1]Черн!AW33</f>
        <v>3024.8</v>
      </c>
      <c r="D36" s="352">
        <f>[1]Черн!AX33</f>
        <v>17156.280339999998</v>
      </c>
      <c r="E36" s="352">
        <f>[1]Черн!BC33</f>
        <v>15476.36743</v>
      </c>
      <c r="F36" s="352">
        <f>[1]Черн!BD33</f>
        <v>123.49610000000001</v>
      </c>
      <c r="G36" s="352">
        <f>[1]Черн!BE33</f>
        <v>15352.87133</v>
      </c>
      <c r="H36" s="352">
        <f t="shared" si="4"/>
        <v>76.68750715651727</v>
      </c>
      <c r="I36" s="352">
        <f t="shared" si="4"/>
        <v>4.0827856387199155</v>
      </c>
      <c r="J36" s="352">
        <f t="shared" si="4"/>
        <v>89.488344942724353</v>
      </c>
      <c r="K36" s="352">
        <f>[1]Черн!BM33</f>
        <v>1106017.0874099999</v>
      </c>
      <c r="L36" s="352">
        <f>[1]Черн!BN33</f>
        <v>637357.73262999998</v>
      </c>
      <c r="M36" s="352">
        <f>[1]Черн!BO33</f>
        <v>468659.35477999994</v>
      </c>
      <c r="N36" s="352">
        <f>[1]Черн!BT33</f>
        <v>278621.25228000002</v>
      </c>
      <c r="O36" s="352">
        <f>[1]Черн!BU33</f>
        <v>190653.91326999996</v>
      </c>
      <c r="P36" s="352">
        <f>[1]Черн!BV33</f>
        <v>87967.339009999996</v>
      </c>
      <c r="Q36" s="352">
        <f t="shared" si="1"/>
        <v>25.191405761411648</v>
      </c>
      <c r="R36" s="352">
        <f t="shared" si="1"/>
        <v>29.913171757292965</v>
      </c>
      <c r="S36" s="352">
        <f t="shared" si="0"/>
        <v>18.76999533089316</v>
      </c>
      <c r="T36" s="352">
        <f>[1]Черн!CD33</f>
        <v>276692.79940999998</v>
      </c>
      <c r="U36" s="352">
        <f>[1]Черн!CE33</f>
        <v>15604.692999999999</v>
      </c>
      <c r="V36" s="352">
        <f>[1]Черн!CF33</f>
        <v>261088.10641000001</v>
      </c>
      <c r="W36" s="352">
        <f>[1]Черн!CK33</f>
        <v>223141.16822999998</v>
      </c>
      <c r="X36" s="352">
        <f>[1]Черн!CL33</f>
        <v>15330.42741</v>
      </c>
      <c r="Y36" s="352">
        <f>[1]Черн!CM33</f>
        <v>207810.74081999998</v>
      </c>
      <c r="Z36" s="352">
        <f t="shared" si="2"/>
        <v>80.645816843015183</v>
      </c>
      <c r="AA36" s="352">
        <f t="shared" si="2"/>
        <v>98.242415983448055</v>
      </c>
      <c r="AB36" s="364">
        <f t="shared" si="3"/>
        <v>79.594104717150216</v>
      </c>
    </row>
    <row r="37" spans="1:28" x14ac:dyDescent="0.3">
      <c r="A37" s="366" t="s">
        <v>400</v>
      </c>
      <c r="B37" s="34">
        <f>[1]Черн!AV34</f>
        <v>52969.988689999998</v>
      </c>
      <c r="C37" s="34"/>
      <c r="D37" s="34"/>
      <c r="E37" s="34">
        <f>[1]Черн!BC34</f>
        <v>8612.9886900000001</v>
      </c>
      <c r="F37" s="34"/>
      <c r="G37" s="34"/>
      <c r="H37" s="34">
        <f t="shared" si="4"/>
        <v>16.260129373269081</v>
      </c>
      <c r="I37" s="34"/>
      <c r="J37" s="34"/>
      <c r="K37" s="34">
        <f>[1]Черн!BM34</f>
        <v>1137540.8999999999</v>
      </c>
      <c r="L37" s="34">
        <f>[1]Черн!BN34</f>
        <v>0</v>
      </c>
      <c r="M37" s="34">
        <f>[1]Черн!BO34</f>
        <v>0</v>
      </c>
      <c r="N37" s="34">
        <f>[1]Черн!BT34</f>
        <v>307220.72091000003</v>
      </c>
      <c r="O37" s="34"/>
      <c r="P37" s="34"/>
      <c r="Q37" s="34">
        <f t="shared" si="1"/>
        <v>27.00744394421335</v>
      </c>
      <c r="R37" s="34"/>
      <c r="S37" s="34"/>
      <c r="T37" s="34">
        <f>[1]Черн!CD34</f>
        <v>0</v>
      </c>
      <c r="U37" s="34">
        <f>[1]Черн!CE34</f>
        <v>0</v>
      </c>
      <c r="V37" s="34">
        <f>[1]Черн!CF34</f>
        <v>0</v>
      </c>
      <c r="W37" s="34">
        <f>[1]Черн!CK34</f>
        <v>0</v>
      </c>
      <c r="X37" s="34"/>
      <c r="Y37" s="34"/>
      <c r="Z37" s="34"/>
      <c r="AA37" s="34"/>
      <c r="AB37" s="50"/>
    </row>
    <row r="38" spans="1:28" s="371" customFormat="1" ht="13.8" thickBot="1" x14ac:dyDescent="0.35">
      <c r="A38" s="367" t="s">
        <v>401</v>
      </c>
      <c r="B38" s="357">
        <f>[1]Черн!AV35</f>
        <v>73151.069029999999</v>
      </c>
      <c r="C38" s="357">
        <f>[1]Черн!AW35</f>
        <v>3024.8</v>
      </c>
      <c r="D38" s="357">
        <f>[1]Черн!AX35</f>
        <v>17156.280339999998</v>
      </c>
      <c r="E38" s="357">
        <f>[1]Черн!BC35</f>
        <v>24089.35612</v>
      </c>
      <c r="F38" s="357">
        <f>[1]Черн!BD35</f>
        <v>123.49610000000001</v>
      </c>
      <c r="G38" s="357">
        <f>[1]Черн!BE35</f>
        <v>15352.87133</v>
      </c>
      <c r="H38" s="357">
        <f t="shared" si="4"/>
        <v>32.930969347995052</v>
      </c>
      <c r="I38" s="357">
        <f t="shared" si="4"/>
        <v>4.0827856387199155</v>
      </c>
      <c r="J38" s="357">
        <f t="shared" si="4"/>
        <v>89.488344942724353</v>
      </c>
      <c r="K38" s="357">
        <f>[1]Черн!BM35</f>
        <v>2243557.9874099996</v>
      </c>
      <c r="L38" s="357">
        <f>[1]Черн!BN35</f>
        <v>637357.73262999998</v>
      </c>
      <c r="M38" s="357">
        <f>[1]Черн!BO35</f>
        <v>468659.35477999994</v>
      </c>
      <c r="N38" s="357">
        <f>[1]Черн!BT35</f>
        <v>585841.97319000005</v>
      </c>
      <c r="O38" s="357">
        <f>[1]Черн!BU35</f>
        <v>190653.91326999996</v>
      </c>
      <c r="P38" s="357">
        <f>[1]Черн!BV35</f>
        <v>87967.339009999996</v>
      </c>
      <c r="Q38" s="357">
        <f t="shared" si="1"/>
        <v>26.112183258802492</v>
      </c>
      <c r="R38" s="357">
        <f t="shared" si="1"/>
        <v>29.913171757292965</v>
      </c>
      <c r="S38" s="357">
        <f t="shared" si="0"/>
        <v>18.76999533089316</v>
      </c>
      <c r="T38" s="357">
        <f>[1]Черн!CD35</f>
        <v>276692.79940999998</v>
      </c>
      <c r="U38" s="357">
        <f>[1]Черн!CE35</f>
        <v>15604.692999999999</v>
      </c>
      <c r="V38" s="357">
        <f>[1]Черн!CF35</f>
        <v>261088.10641000001</v>
      </c>
      <c r="W38" s="357">
        <f>[1]Черн!CK35</f>
        <v>223141.16822999998</v>
      </c>
      <c r="X38" s="357">
        <f>[1]Черн!CL35</f>
        <v>15330.42741</v>
      </c>
      <c r="Y38" s="357">
        <f>[1]Черн!CM35</f>
        <v>207810.74081999998</v>
      </c>
      <c r="Z38" s="357">
        <f t="shared" si="2"/>
        <v>80.645816843015183</v>
      </c>
      <c r="AA38" s="357">
        <f t="shared" si="2"/>
        <v>98.242415983448055</v>
      </c>
      <c r="AB38" s="368">
        <f t="shared" si="3"/>
        <v>79.594104717150216</v>
      </c>
    </row>
    <row r="39" spans="1:28" ht="13.8" thickTop="1" x14ac:dyDescent="0.3"/>
    <row r="40" spans="1:28" x14ac:dyDescent="0.3">
      <c r="A40" s="222" t="s">
        <v>426</v>
      </c>
    </row>
  </sheetData>
  <mergeCells count="34">
    <mergeCell ref="AA7:AB7"/>
    <mergeCell ref="K7:K8"/>
    <mergeCell ref="L7:M7"/>
    <mergeCell ref="N7:N8"/>
    <mergeCell ref="O7:P7"/>
    <mergeCell ref="Q7:Q8"/>
    <mergeCell ref="R7:S7"/>
    <mergeCell ref="T7:T8"/>
    <mergeCell ref="U7:V7"/>
    <mergeCell ref="W7:W8"/>
    <mergeCell ref="X7:Y7"/>
    <mergeCell ref="Z7:Z8"/>
    <mergeCell ref="T6:V6"/>
    <mergeCell ref="B7:B8"/>
    <mergeCell ref="C7:D7"/>
    <mergeCell ref="E7:E8"/>
    <mergeCell ref="F7:G7"/>
    <mergeCell ref="H7:H8"/>
    <mergeCell ref="W6:Y6"/>
    <mergeCell ref="Z6:AB6"/>
    <mergeCell ref="Z1:AB1"/>
    <mergeCell ref="A2:AB2"/>
    <mergeCell ref="Z3:AB3"/>
    <mergeCell ref="A4:A8"/>
    <mergeCell ref="B4:J5"/>
    <mergeCell ref="K4:S5"/>
    <mergeCell ref="T4:AB5"/>
    <mergeCell ref="B6:D6"/>
    <mergeCell ref="E6:G6"/>
    <mergeCell ref="H6:J6"/>
    <mergeCell ref="I7:J7"/>
    <mergeCell ref="K6:M6"/>
    <mergeCell ref="N6:P6"/>
    <mergeCell ref="Q6:S6"/>
  </mergeCells>
  <pageMargins left="0.39370078740157483" right="0.39370078740157483" top="0.59055118110236227" bottom="0.59055118110236227" header="0.31496062992125984" footer="0.31496062992125984"/>
  <pageSetup paperSize="9" scale="78" orientation="landscape" r:id="rId1"/>
  <headerFooter>
    <oddFooter>&amp;CСтраница &amp;P из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tabSelected="1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M8" sqref="M8"/>
    </sheetView>
  </sheetViews>
  <sheetFormatPr defaultColWidth="9.109375" defaultRowHeight="13.2" x14ac:dyDescent="0.3"/>
  <cols>
    <col min="1" max="1" width="26.6640625" style="217" customWidth="1"/>
    <col min="2" max="2" width="11.5546875" style="243" bestFit="1" customWidth="1"/>
    <col min="3" max="3" width="11.33203125" style="243" bestFit="1" customWidth="1"/>
    <col min="4" max="4" width="10.33203125" style="243" bestFit="1" customWidth="1"/>
    <col min="5" max="5" width="9.6640625" style="243" bestFit="1" customWidth="1"/>
    <col min="6" max="6" width="12.33203125" style="243" bestFit="1" customWidth="1"/>
    <col min="7" max="7" width="6.33203125" style="243" customWidth="1"/>
    <col min="8" max="8" width="11.33203125" style="243" bestFit="1" customWidth="1"/>
    <col min="9" max="9" width="6" style="243" customWidth="1"/>
    <col min="10" max="10" width="6.5546875" style="343" hidden="1" customWidth="1"/>
    <col min="11" max="11" width="11.44140625" style="319" hidden="1" customWidth="1"/>
    <col min="12" max="12" width="8.6640625" style="319" hidden="1" customWidth="1"/>
    <col min="13" max="13" width="12.33203125" style="243" bestFit="1" customWidth="1"/>
    <col min="14" max="14" width="6.44140625" style="243" customWidth="1"/>
    <col min="15" max="15" width="11.33203125" style="243" bestFit="1" customWidth="1"/>
    <col min="16" max="16" width="5.88671875" style="243" customWidth="1"/>
    <col min="17" max="17" width="5.5546875" style="343" hidden="1" customWidth="1"/>
    <col min="18" max="18" width="11.33203125" style="243" bestFit="1" customWidth="1"/>
    <col min="19" max="21" width="9.6640625" style="243" bestFit="1" customWidth="1"/>
    <col min="22" max="22" width="11.33203125" style="243" bestFit="1" customWidth="1"/>
    <col min="23" max="23" width="11.109375" style="243" customWidth="1"/>
    <col min="24" max="24" width="11.33203125" style="243" bestFit="1" customWidth="1"/>
    <col min="25" max="25" width="10" style="243" customWidth="1"/>
    <col min="26" max="16384" width="9.109375" style="243"/>
  </cols>
  <sheetData>
    <row r="1" spans="1:25" ht="21.75" customHeight="1" x14ac:dyDescent="0.3">
      <c r="W1" s="424" t="s">
        <v>407</v>
      </c>
      <c r="X1" s="424"/>
      <c r="Y1" s="424"/>
    </row>
    <row r="2" spans="1:25" ht="37.5" customHeight="1" x14ac:dyDescent="0.3">
      <c r="A2" s="404" t="s">
        <v>366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</row>
    <row r="3" spans="1:25" s="217" customFormat="1" ht="13.8" thickBot="1" x14ac:dyDescent="0.35">
      <c r="J3" s="344"/>
      <c r="K3" s="235"/>
      <c r="L3" s="235"/>
      <c r="Q3" s="344"/>
      <c r="Y3" s="374" t="s">
        <v>422</v>
      </c>
    </row>
    <row r="4" spans="1:25" s="323" customFormat="1" ht="13.5" customHeight="1" thickTop="1" x14ac:dyDescent="0.3">
      <c r="A4" s="434" t="s">
        <v>233</v>
      </c>
      <c r="B4" s="428" t="s">
        <v>367</v>
      </c>
      <c r="C4" s="428"/>
      <c r="D4" s="428"/>
      <c r="E4" s="428"/>
      <c r="F4" s="428" t="s">
        <v>368</v>
      </c>
      <c r="G4" s="428"/>
      <c r="H4" s="428"/>
      <c r="I4" s="428"/>
      <c r="J4" s="428"/>
      <c r="K4" s="436" t="s">
        <v>369</v>
      </c>
      <c r="L4" s="436" t="s">
        <v>370</v>
      </c>
      <c r="M4" s="428" t="s">
        <v>371</v>
      </c>
      <c r="N4" s="428"/>
      <c r="O4" s="428"/>
      <c r="P4" s="428"/>
      <c r="Q4" s="428"/>
      <c r="R4" s="428" t="s">
        <v>372</v>
      </c>
      <c r="S4" s="428"/>
      <c r="T4" s="428"/>
      <c r="U4" s="428"/>
      <c r="V4" s="428"/>
      <c r="W4" s="428"/>
      <c r="X4" s="428"/>
      <c r="Y4" s="430"/>
    </row>
    <row r="5" spans="1:25" s="323" customFormat="1" ht="27.75" customHeight="1" x14ac:dyDescent="0.3">
      <c r="A5" s="435"/>
      <c r="B5" s="429" t="s">
        <v>373</v>
      </c>
      <c r="C5" s="429"/>
      <c r="D5" s="429" t="s">
        <v>374</v>
      </c>
      <c r="E5" s="429"/>
      <c r="F5" s="429"/>
      <c r="G5" s="429"/>
      <c r="H5" s="429"/>
      <c r="I5" s="429"/>
      <c r="J5" s="429"/>
      <c r="K5" s="437"/>
      <c r="L5" s="437"/>
      <c r="M5" s="429"/>
      <c r="N5" s="429"/>
      <c r="O5" s="429"/>
      <c r="P5" s="429"/>
      <c r="Q5" s="429"/>
      <c r="R5" s="429" t="s">
        <v>375</v>
      </c>
      <c r="S5" s="429"/>
      <c r="T5" s="429"/>
      <c r="U5" s="429"/>
      <c r="V5" s="429" t="s">
        <v>376</v>
      </c>
      <c r="W5" s="429"/>
      <c r="X5" s="429"/>
      <c r="Y5" s="431"/>
    </row>
    <row r="6" spans="1:25" s="323" customFormat="1" ht="57" customHeight="1" x14ac:dyDescent="0.3">
      <c r="A6" s="435"/>
      <c r="B6" s="305" t="s">
        <v>196</v>
      </c>
      <c r="C6" s="345" t="s">
        <v>379</v>
      </c>
      <c r="D6" s="305" t="s">
        <v>196</v>
      </c>
      <c r="E6" s="345" t="s">
        <v>379</v>
      </c>
      <c r="F6" s="305" t="s">
        <v>377</v>
      </c>
      <c r="G6" s="345" t="s">
        <v>378</v>
      </c>
      <c r="H6" s="305" t="s">
        <v>379</v>
      </c>
      <c r="I6" s="345" t="s">
        <v>378</v>
      </c>
      <c r="J6" s="346" t="s">
        <v>380</v>
      </c>
      <c r="K6" s="438"/>
      <c r="L6" s="438"/>
      <c r="M6" s="305" t="s">
        <v>377</v>
      </c>
      <c r="N6" s="345" t="s">
        <v>378</v>
      </c>
      <c r="O6" s="305" t="s">
        <v>379</v>
      </c>
      <c r="P6" s="345" t="s">
        <v>378</v>
      </c>
      <c r="Q6" s="346" t="s">
        <v>381</v>
      </c>
      <c r="R6" s="305" t="s">
        <v>382</v>
      </c>
      <c r="S6" s="305" t="s">
        <v>383</v>
      </c>
      <c r="T6" s="305" t="s">
        <v>379</v>
      </c>
      <c r="U6" s="345" t="s">
        <v>384</v>
      </c>
      <c r="V6" s="305" t="s">
        <v>382</v>
      </c>
      <c r="W6" s="305" t="s">
        <v>385</v>
      </c>
      <c r="X6" s="305" t="s">
        <v>379</v>
      </c>
      <c r="Y6" s="347" t="s">
        <v>386</v>
      </c>
    </row>
    <row r="7" spans="1:25" s="323" customFormat="1" x14ac:dyDescent="0.3">
      <c r="A7" s="348">
        <v>1</v>
      </c>
      <c r="B7" s="303">
        <v>2</v>
      </c>
      <c r="C7" s="303">
        <v>3</v>
      </c>
      <c r="D7" s="303">
        <v>4</v>
      </c>
      <c r="E7" s="303">
        <v>5</v>
      </c>
      <c r="F7" s="303">
        <v>6</v>
      </c>
      <c r="G7" s="303">
        <v>7</v>
      </c>
      <c r="H7" s="303">
        <v>8</v>
      </c>
      <c r="I7" s="303">
        <v>9</v>
      </c>
      <c r="J7" s="349"/>
      <c r="K7" s="350">
        <v>10</v>
      </c>
      <c r="L7" s="350" t="s">
        <v>387</v>
      </c>
      <c r="M7" s="303">
        <v>10</v>
      </c>
      <c r="N7" s="303">
        <v>11</v>
      </c>
      <c r="O7" s="303">
        <v>12</v>
      </c>
      <c r="P7" s="303">
        <v>13</v>
      </c>
      <c r="Q7" s="349"/>
      <c r="R7" s="303">
        <v>14</v>
      </c>
      <c r="S7" s="303">
        <v>15</v>
      </c>
      <c r="T7" s="303">
        <v>16</v>
      </c>
      <c r="U7" s="303">
        <v>17</v>
      </c>
      <c r="V7" s="303">
        <v>18</v>
      </c>
      <c r="W7" s="303">
        <v>19</v>
      </c>
      <c r="X7" s="303">
        <v>20</v>
      </c>
      <c r="Y7" s="271">
        <v>21</v>
      </c>
    </row>
    <row r="8" spans="1:25" ht="39.6" x14ac:dyDescent="0.3">
      <c r="A8" s="126" t="s">
        <v>238</v>
      </c>
      <c r="B8" s="34">
        <v>17684.96184</v>
      </c>
      <c r="C8" s="34">
        <v>283.56828000000002</v>
      </c>
      <c r="D8" s="34">
        <v>-7702.8784299999998</v>
      </c>
      <c r="E8" s="34">
        <v>283.56828000000002</v>
      </c>
      <c r="F8" s="34">
        <v>33081.121780000001</v>
      </c>
      <c r="G8" s="34">
        <v>40.79893718672723</v>
      </c>
      <c r="H8" s="34">
        <v>5546</v>
      </c>
      <c r="I8" s="34">
        <v>50.000901566923318</v>
      </c>
      <c r="J8" s="351">
        <f>H8/F8%</f>
        <v>16.764848655625002</v>
      </c>
      <c r="K8" s="240">
        <v>5546</v>
      </c>
      <c r="L8" s="240">
        <f>K8-H8</f>
        <v>0</v>
      </c>
      <c r="M8" s="34">
        <v>40767.876210000002</v>
      </c>
      <c r="N8" s="34">
        <v>44.831270488941428</v>
      </c>
      <c r="O8" s="34">
        <v>5262.4317199999996</v>
      </c>
      <c r="P8" s="34">
        <v>47.44434374943652</v>
      </c>
      <c r="Q8" s="351">
        <f>O8/M8%</f>
        <v>12.908280266778211</v>
      </c>
      <c r="R8" s="34">
        <v>8965.1896300000008</v>
      </c>
      <c r="S8" s="34">
        <v>-249.53225</v>
      </c>
      <c r="T8" s="34">
        <v>14.922790000000001</v>
      </c>
      <c r="U8" s="34">
        <v>-5.6582799999999995</v>
      </c>
      <c r="V8" s="34">
        <v>9190.2540300000001</v>
      </c>
      <c r="W8" s="34">
        <v>1128.9769099999992</v>
      </c>
      <c r="X8" s="34">
        <v>285.16971000000001</v>
      </c>
      <c r="Y8" s="50">
        <v>285.16971000000001</v>
      </c>
    </row>
    <row r="9" spans="1:25" ht="52.8" x14ac:dyDescent="0.3">
      <c r="A9" s="126" t="s">
        <v>239</v>
      </c>
      <c r="B9" s="34">
        <v>4509.3336300000001</v>
      </c>
      <c r="C9" s="34">
        <v>53.27881</v>
      </c>
      <c r="D9" s="34">
        <v>903.22131999999988</v>
      </c>
      <c r="E9" s="34">
        <v>53.27881</v>
      </c>
      <c r="F9" s="34">
        <v>7380.1390099999999</v>
      </c>
      <c r="G9" s="34">
        <v>57.21037992248062</v>
      </c>
      <c r="H9" s="34">
        <v>200</v>
      </c>
      <c r="I9" s="34">
        <v>50</v>
      </c>
      <c r="J9" s="352">
        <f t="shared" ref="J9:J24" si="0">H9/F9%</f>
        <v>2.7099760550445247</v>
      </c>
      <c r="K9" s="240">
        <v>200</v>
      </c>
      <c r="L9" s="240">
        <f t="shared" ref="L9:L23" si="1">K9-H9</f>
        <v>0</v>
      </c>
      <c r="M9" s="34">
        <v>6476.9176900000002</v>
      </c>
      <c r="N9" s="34">
        <v>50.786035504778084</v>
      </c>
      <c r="O9" s="34">
        <v>146.72119000000001</v>
      </c>
      <c r="P9" s="34">
        <v>36.680297500000002</v>
      </c>
      <c r="Q9" s="352">
        <f t="shared" ref="Q9:Q24" si="2">O9/M9%</f>
        <v>2.2652934161341798</v>
      </c>
      <c r="R9" s="34">
        <v>741.21901000000003</v>
      </c>
      <c r="S9" s="34">
        <v>324.05925999999999</v>
      </c>
      <c r="T9" s="34">
        <v>0</v>
      </c>
      <c r="U9" s="34">
        <v>0</v>
      </c>
      <c r="V9" s="34">
        <v>1321.89525</v>
      </c>
      <c r="W9" s="34">
        <v>857.1859199999999</v>
      </c>
      <c r="X9" s="34">
        <v>0</v>
      </c>
      <c r="Y9" s="50">
        <v>0</v>
      </c>
    </row>
    <row r="10" spans="1:25" ht="52.8" x14ac:dyDescent="0.3">
      <c r="A10" s="126" t="s">
        <v>240</v>
      </c>
      <c r="B10" s="34">
        <v>37221.062079999996</v>
      </c>
      <c r="C10" s="34">
        <v>31380.766070000001</v>
      </c>
      <c r="D10" s="34">
        <v>23909.823369999998</v>
      </c>
      <c r="E10" s="34">
        <v>18921.972099999999</v>
      </c>
      <c r="F10" s="34">
        <v>183242.60222999999</v>
      </c>
      <c r="G10" s="34">
        <v>45.864363992807696</v>
      </c>
      <c r="H10" s="34">
        <v>157799.21893</v>
      </c>
      <c r="I10" s="34">
        <v>46.806897573150167</v>
      </c>
      <c r="J10" s="351">
        <f t="shared" si="0"/>
        <v>86.114919243471391</v>
      </c>
      <c r="K10" s="240">
        <v>157799.21893</v>
      </c>
      <c r="L10" s="240">
        <f t="shared" si="1"/>
        <v>0</v>
      </c>
      <c r="M10" s="34">
        <v>159392.93963000001</v>
      </c>
      <c r="N10" s="34">
        <v>38.629814893342079</v>
      </c>
      <c r="O10" s="34">
        <v>138877.24682999999</v>
      </c>
      <c r="P10" s="34">
        <v>39.726098701688777</v>
      </c>
      <c r="Q10" s="351">
        <f t="shared" si="2"/>
        <v>87.128857245732945</v>
      </c>
      <c r="R10" s="34">
        <v>55770.537090000005</v>
      </c>
      <c r="S10" s="34">
        <v>824.44280000000447</v>
      </c>
      <c r="T10" s="34">
        <v>5915.8027400000001</v>
      </c>
      <c r="U10" s="34">
        <v>4313.9973</v>
      </c>
      <c r="V10" s="34">
        <v>202540.02658999999</v>
      </c>
      <c r="W10" s="34">
        <v>62407.226470000001</v>
      </c>
      <c r="X10" s="34">
        <v>84414.475009999995</v>
      </c>
      <c r="Y10" s="50">
        <v>74721.61443999999</v>
      </c>
    </row>
    <row r="11" spans="1:25" ht="26.4" x14ac:dyDescent="0.3">
      <c r="A11" s="126" t="s">
        <v>241</v>
      </c>
      <c r="B11" s="34">
        <v>1995832.2555</v>
      </c>
      <c r="C11" s="34">
        <v>362004.31964</v>
      </c>
      <c r="D11" s="34">
        <v>-289710.21386999986</v>
      </c>
      <c r="E11" s="34">
        <v>-74462.375710000051</v>
      </c>
      <c r="F11" s="34">
        <v>9126086.8800000008</v>
      </c>
      <c r="G11" s="34">
        <v>46.143900256240052</v>
      </c>
      <c r="H11" s="34">
        <f>1463449.8191+(53856368.24)/1000</f>
        <v>1517306.1873399999</v>
      </c>
      <c r="I11" s="353">
        <v>45.080589165402088</v>
      </c>
      <c r="J11" s="351">
        <f t="shared" si="0"/>
        <v>16.626032682914801</v>
      </c>
      <c r="K11" s="240">
        <v>1517306.1873399999</v>
      </c>
      <c r="L11" s="240">
        <f t="shared" si="1"/>
        <v>0</v>
      </c>
      <c r="M11" s="34">
        <v>9437464.9829799999</v>
      </c>
      <c r="N11" s="34">
        <v>43.464488741917485</v>
      </c>
      <c r="O11" s="34">
        <v>1478053.6430200001</v>
      </c>
      <c r="P11" s="34">
        <v>41.423687178397053</v>
      </c>
      <c r="Q11" s="351">
        <f t="shared" si="2"/>
        <v>15.661553666006672</v>
      </c>
      <c r="R11" s="34">
        <v>767272.26191</v>
      </c>
      <c r="S11" s="34">
        <v>192497.16089</v>
      </c>
      <c r="T11" s="34">
        <v>197754.61603999996</v>
      </c>
      <c r="U11" s="34">
        <v>148238.73316999996</v>
      </c>
      <c r="V11" s="34">
        <v>2290605.80559</v>
      </c>
      <c r="W11" s="34">
        <v>920185.59618000011</v>
      </c>
      <c r="X11" s="34">
        <v>201315.12467000002</v>
      </c>
      <c r="Y11" s="50">
        <v>44002.099619999994</v>
      </c>
    </row>
    <row r="12" spans="1:25" x14ac:dyDescent="0.3">
      <c r="A12" s="126" t="s">
        <v>242</v>
      </c>
      <c r="B12" s="34">
        <v>69573.099989999988</v>
      </c>
      <c r="C12" s="34">
        <v>61033.820079999998</v>
      </c>
      <c r="D12" s="34">
        <v>35503.052209999994</v>
      </c>
      <c r="E12" s="34">
        <v>32683.95968</v>
      </c>
      <c r="F12" s="34">
        <v>487782.72460000002</v>
      </c>
      <c r="G12" s="34">
        <v>54.961151938014879</v>
      </c>
      <c r="H12" s="34">
        <v>414682.761</v>
      </c>
      <c r="I12" s="34">
        <v>54.662150403748242</v>
      </c>
      <c r="J12" s="351">
        <f t="shared" si="0"/>
        <v>85.013826871391416</v>
      </c>
      <c r="K12" s="240">
        <v>414682.76100000006</v>
      </c>
      <c r="L12" s="240">
        <f t="shared" si="1"/>
        <v>0</v>
      </c>
      <c r="M12" s="34">
        <v>451823.49170999997</v>
      </c>
      <c r="N12" s="34">
        <v>49.082767046218201</v>
      </c>
      <c r="O12" s="34">
        <v>375991.41314999998</v>
      </c>
      <c r="P12" s="34">
        <v>47.776576398586215</v>
      </c>
      <c r="Q12" s="351">
        <f t="shared" si="2"/>
        <v>83.21643740280058</v>
      </c>
      <c r="R12" s="34">
        <v>15073.2083</v>
      </c>
      <c r="S12" s="34">
        <v>3092.5022700000013</v>
      </c>
      <c r="T12" s="34">
        <v>8302.6290600000011</v>
      </c>
      <c r="U12" s="34">
        <v>339.21901000000162</v>
      </c>
      <c r="V12" s="34">
        <v>116000.03485</v>
      </c>
      <c r="W12" s="34">
        <v>87063.899919999982</v>
      </c>
      <c r="X12" s="34">
        <v>86856.354019999999</v>
      </c>
      <c r="Y12" s="50">
        <v>79265.7016</v>
      </c>
    </row>
    <row r="13" spans="1:25" ht="39.6" x14ac:dyDescent="0.3">
      <c r="A13" s="126" t="s">
        <v>243</v>
      </c>
      <c r="B13" s="34">
        <v>111400.15246</v>
      </c>
      <c r="C13" s="34">
        <v>83910.827969999998</v>
      </c>
      <c r="D13" s="34">
        <v>67847.897979999994</v>
      </c>
      <c r="E13" s="34">
        <v>53425.776189999997</v>
      </c>
      <c r="F13" s="34">
        <v>252859.93221999999</v>
      </c>
      <c r="G13" s="34">
        <v>48.205381477819159</v>
      </c>
      <c r="H13" s="34">
        <v>215712.39</v>
      </c>
      <c r="I13" s="34">
        <v>46.358676053347466</v>
      </c>
      <c r="J13" s="351">
        <f t="shared" si="0"/>
        <v>85.309043669409888</v>
      </c>
      <c r="K13" s="240">
        <v>215712.38999999998</v>
      </c>
      <c r="L13" s="240">
        <f t="shared" si="1"/>
        <v>0</v>
      </c>
      <c r="M13" s="34">
        <v>184098.52043</v>
      </c>
      <c r="N13" s="34">
        <v>32.458236106916146</v>
      </c>
      <c r="O13" s="34">
        <v>161373.1</v>
      </c>
      <c r="P13" s="34">
        <v>32.608311417787618</v>
      </c>
      <c r="Q13" s="351">
        <f t="shared" si="2"/>
        <v>87.655837549959614</v>
      </c>
      <c r="R13" s="34">
        <v>167678.18361000001</v>
      </c>
      <c r="S13" s="34">
        <v>162457.00049000001</v>
      </c>
      <c r="T13" s="34">
        <v>160090.43411</v>
      </c>
      <c r="U13" s="34">
        <v>159325.31836999999</v>
      </c>
      <c r="V13" s="34">
        <v>122846.86045000001</v>
      </c>
      <c r="W13" s="34">
        <v>96943.727200000008</v>
      </c>
      <c r="X13" s="34">
        <v>108817.12567000001</v>
      </c>
      <c r="Y13" s="50">
        <v>84998.797600000005</v>
      </c>
    </row>
    <row r="14" spans="1:25" ht="26.4" x14ac:dyDescent="0.3">
      <c r="A14" s="126" t="s">
        <v>244</v>
      </c>
      <c r="B14" s="34">
        <v>262370.78661000001</v>
      </c>
      <c r="C14" s="34">
        <v>227835.21442999999</v>
      </c>
      <c r="D14" s="34">
        <v>191720.50692000001</v>
      </c>
      <c r="E14" s="34">
        <v>176773.36144000001</v>
      </c>
      <c r="F14" s="34">
        <v>2393074.0648499997</v>
      </c>
      <c r="G14" s="34">
        <v>56.384636840181201</v>
      </c>
      <c r="H14" s="34">
        <v>2244732.6880000001</v>
      </c>
      <c r="I14" s="34">
        <v>56.358446211723063</v>
      </c>
      <c r="J14" s="351">
        <f t="shared" si="0"/>
        <v>93.801220821834548</v>
      </c>
      <c r="K14" s="240">
        <f>2260539.838-7307.15</f>
        <v>2253232.6880000001</v>
      </c>
      <c r="L14" s="240">
        <f t="shared" si="1"/>
        <v>8500</v>
      </c>
      <c r="M14" s="34">
        <v>2198796.1759499996</v>
      </c>
      <c r="N14" s="34">
        <v>51.353205435876447</v>
      </c>
      <c r="O14" s="34">
        <v>2063949.3043899999</v>
      </c>
      <c r="P14" s="34">
        <v>51.464231454169514</v>
      </c>
      <c r="Q14" s="351">
        <f t="shared" si="2"/>
        <v>93.867240945980896</v>
      </c>
      <c r="R14" s="34">
        <v>251350.97299000001</v>
      </c>
      <c r="S14" s="34">
        <v>112970.87867000002</v>
      </c>
      <c r="T14" s="34">
        <v>209990.33791</v>
      </c>
      <c r="U14" s="34">
        <v>108561.40544</v>
      </c>
      <c r="V14" s="34">
        <v>585469.08967999998</v>
      </c>
      <c r="W14" s="34">
        <v>422833.61662999995</v>
      </c>
      <c r="X14" s="34">
        <v>539899.93606999994</v>
      </c>
      <c r="Y14" s="50">
        <v>417496.15303999995</v>
      </c>
    </row>
    <row r="15" spans="1:25" ht="39.6" x14ac:dyDescent="0.3">
      <c r="A15" s="126" t="s">
        <v>245</v>
      </c>
      <c r="B15" s="34">
        <v>105.22994</v>
      </c>
      <c r="C15" s="34">
        <v>25.23423</v>
      </c>
      <c r="D15" s="34">
        <v>-489.42622000000006</v>
      </c>
      <c r="E15" s="34">
        <v>25.23423</v>
      </c>
      <c r="F15" s="34">
        <v>1507.2315599999999</v>
      </c>
      <c r="G15" s="353">
        <v>29.49205720607489</v>
      </c>
      <c r="H15" s="34">
        <v>307.3</v>
      </c>
      <c r="I15" s="34">
        <v>50</v>
      </c>
      <c r="J15" s="351">
        <f t="shared" si="0"/>
        <v>20.388373502476291</v>
      </c>
      <c r="K15" s="240">
        <v>307.3</v>
      </c>
      <c r="L15" s="240">
        <f t="shared" si="1"/>
        <v>0</v>
      </c>
      <c r="M15" s="34">
        <v>1996.65778</v>
      </c>
      <c r="N15" s="34">
        <v>39.068678649957739</v>
      </c>
      <c r="O15" s="34">
        <v>282.06577000000004</v>
      </c>
      <c r="P15" s="34">
        <v>45.894202733485201</v>
      </c>
      <c r="Q15" s="351">
        <f t="shared" si="2"/>
        <v>14.126896097337223</v>
      </c>
      <c r="R15" s="34">
        <v>1286.1783899999998</v>
      </c>
      <c r="S15" s="34">
        <v>450.22160999999988</v>
      </c>
      <c r="T15" s="34">
        <v>0</v>
      </c>
      <c r="U15" s="34">
        <v>0</v>
      </c>
      <c r="V15" s="34">
        <v>1237.0903500000002</v>
      </c>
      <c r="W15" s="34">
        <v>710.58257000000003</v>
      </c>
      <c r="X15" s="34">
        <v>0</v>
      </c>
      <c r="Y15" s="50">
        <v>0</v>
      </c>
    </row>
    <row r="16" spans="1:25" ht="26.4" x14ac:dyDescent="0.3">
      <c r="A16" s="126" t="s">
        <v>246</v>
      </c>
      <c r="B16" s="34">
        <v>4239.6470599999993</v>
      </c>
      <c r="C16" s="34">
        <v>3747.26856</v>
      </c>
      <c r="D16" s="34">
        <v>1172.4718899999996</v>
      </c>
      <c r="E16" s="34">
        <v>1006.3011200000001</v>
      </c>
      <c r="F16" s="34">
        <v>55754.585930000001</v>
      </c>
      <c r="G16" s="353">
        <v>66.159724240471704</v>
      </c>
      <c r="H16" s="34">
        <v>52647.35</v>
      </c>
      <c r="I16" s="353">
        <v>66.412964362258379</v>
      </c>
      <c r="J16" s="351">
        <f t="shared" si="0"/>
        <v>94.426941070101137</v>
      </c>
      <c r="K16" s="240">
        <v>52647.35</v>
      </c>
      <c r="L16" s="240">
        <f t="shared" si="1"/>
        <v>0</v>
      </c>
      <c r="M16" s="34">
        <v>54812.194889999999</v>
      </c>
      <c r="N16" s="353">
        <v>62.936120957440949</v>
      </c>
      <c r="O16" s="34">
        <v>51641.048880000002</v>
      </c>
      <c r="P16" s="353">
        <v>62.966393885238503</v>
      </c>
      <c r="Q16" s="351">
        <f t="shared" si="2"/>
        <v>94.214524675824379</v>
      </c>
      <c r="R16" s="34">
        <v>1194.7737</v>
      </c>
      <c r="S16" s="34">
        <v>565.23954999999989</v>
      </c>
      <c r="T16" s="34">
        <v>620.6519199999999</v>
      </c>
      <c r="U16" s="34">
        <v>614.80341999999996</v>
      </c>
      <c r="V16" s="34">
        <v>41464.750009999996</v>
      </c>
      <c r="W16" s="34">
        <v>-7128.5762300000042</v>
      </c>
      <c r="X16" s="34">
        <v>39835.726340000001</v>
      </c>
      <c r="Y16" s="50">
        <v>-7848.4994499999957</v>
      </c>
    </row>
    <row r="17" spans="1:25" ht="26.4" x14ac:dyDescent="0.3">
      <c r="A17" s="126" t="s">
        <v>247</v>
      </c>
      <c r="B17" s="34">
        <v>66864.991420000006</v>
      </c>
      <c r="C17" s="34">
        <v>66424.572530000005</v>
      </c>
      <c r="D17" s="34">
        <v>-2601.5702399999946</v>
      </c>
      <c r="E17" s="34">
        <v>-2352.8085100000026</v>
      </c>
      <c r="F17" s="34">
        <v>3955.97613</v>
      </c>
      <c r="G17" s="34">
        <v>50.168286257981549</v>
      </c>
      <c r="H17" s="34">
        <v>3302.7640000000001</v>
      </c>
      <c r="I17" s="34">
        <v>45.667487071707086</v>
      </c>
      <c r="J17" s="351">
        <f t="shared" si="0"/>
        <v>83.487965838661424</v>
      </c>
      <c r="K17" s="240">
        <v>3302.7640000000001</v>
      </c>
      <c r="L17" s="240">
        <f t="shared" si="1"/>
        <v>0</v>
      </c>
      <c r="M17" s="34">
        <v>4987.54637</v>
      </c>
      <c r="N17" s="353">
        <v>6.5504041921406948</v>
      </c>
      <c r="O17" s="34">
        <v>4085.57251</v>
      </c>
      <c r="P17" s="353">
        <v>5.4884410322038546</v>
      </c>
      <c r="Q17" s="351">
        <f t="shared" si="2"/>
        <v>81.915479213880474</v>
      </c>
      <c r="R17" s="34">
        <v>763.63274000000001</v>
      </c>
      <c r="S17" s="34">
        <v>-35.327729999999981</v>
      </c>
      <c r="T17" s="34">
        <v>30.3</v>
      </c>
      <c r="U17" s="34">
        <v>-112.36999999999999</v>
      </c>
      <c r="V17" s="34">
        <v>65496.706570000002</v>
      </c>
      <c r="W17" s="34">
        <v>-1653.9772200000064</v>
      </c>
      <c r="X17" s="34">
        <v>65365.762790000001</v>
      </c>
      <c r="Y17" s="50">
        <v>-1658.3076099999962</v>
      </c>
    </row>
    <row r="18" spans="1:25" ht="39.6" x14ac:dyDescent="0.3">
      <c r="A18" s="126" t="s">
        <v>248</v>
      </c>
      <c r="B18" s="34">
        <v>596225.54064000002</v>
      </c>
      <c r="C18" s="34">
        <v>145797.85227999999</v>
      </c>
      <c r="D18" s="34">
        <v>152422.91778999995</v>
      </c>
      <c r="E18" s="34">
        <v>67662.602789999975</v>
      </c>
      <c r="F18" s="34">
        <v>1143359.8075299999</v>
      </c>
      <c r="G18" s="34">
        <v>51.961673684782397</v>
      </c>
      <c r="H18" s="34">
        <f>913764.21971-(467128.71/1000)</f>
        <v>913297.09100000001</v>
      </c>
      <c r="I18" s="34">
        <v>51.411709744874067</v>
      </c>
      <c r="J18" s="351">
        <f t="shared" si="0"/>
        <v>79.878362435443279</v>
      </c>
      <c r="K18" s="240">
        <v>913297.09100000001</v>
      </c>
      <c r="L18" s="240">
        <f t="shared" si="1"/>
        <v>0</v>
      </c>
      <c r="M18" s="34">
        <v>1019139.84092</v>
      </c>
      <c r="N18" s="34">
        <v>44.213161781332303</v>
      </c>
      <c r="O18" s="34">
        <v>843189.54107000004</v>
      </c>
      <c r="P18" s="34">
        <v>45.164252822351401</v>
      </c>
      <c r="Q18" s="351">
        <f t="shared" si="2"/>
        <v>82.735411492581264</v>
      </c>
      <c r="R18" s="34">
        <v>33461.250890000003</v>
      </c>
      <c r="S18" s="34">
        <v>22747.97853</v>
      </c>
      <c r="T18" s="34">
        <v>26615.994739999998</v>
      </c>
      <c r="U18" s="34">
        <v>19124.612609999996</v>
      </c>
      <c r="V18" s="34">
        <v>472824.45861999999</v>
      </c>
      <c r="W18" s="34">
        <v>115005.76123000002</v>
      </c>
      <c r="X18" s="34">
        <v>68637.685539999991</v>
      </c>
      <c r="Y18" s="50">
        <v>65070.807359999992</v>
      </c>
    </row>
    <row r="19" spans="1:25" ht="39.6" x14ac:dyDescent="0.3">
      <c r="A19" s="126" t="s">
        <v>249</v>
      </c>
      <c r="B19" s="34">
        <v>15739.528900000001</v>
      </c>
      <c r="C19" s="34">
        <v>14075.028770000001</v>
      </c>
      <c r="D19" s="34">
        <v>15378.86</v>
      </c>
      <c r="E19" s="34">
        <v>14075.028770000001</v>
      </c>
      <c r="F19" s="34">
        <v>94230.591549999997</v>
      </c>
      <c r="G19" s="34">
        <v>53.543972519607948</v>
      </c>
      <c r="H19" s="34">
        <v>87729.4</v>
      </c>
      <c r="I19" s="34">
        <v>53.175617724518951</v>
      </c>
      <c r="J19" s="351">
        <f t="shared" si="0"/>
        <v>93.100763305141314</v>
      </c>
      <c r="K19" s="240">
        <v>87729.4</v>
      </c>
      <c r="L19" s="240">
        <f t="shared" si="1"/>
        <v>0</v>
      </c>
      <c r="M19" s="34">
        <v>79583.176229999997</v>
      </c>
      <c r="N19" s="34">
        <v>45.220976871626533</v>
      </c>
      <c r="O19" s="34">
        <v>73654.371230000004</v>
      </c>
      <c r="P19" s="34">
        <v>44.644289009913294</v>
      </c>
      <c r="Q19" s="351">
        <f t="shared" si="2"/>
        <v>92.550177963662321</v>
      </c>
      <c r="R19" s="34">
        <v>1784.12562</v>
      </c>
      <c r="S19" s="34">
        <v>-144.72141999999994</v>
      </c>
      <c r="T19" s="34">
        <v>312.29719</v>
      </c>
      <c r="U19" s="34">
        <v>105.32004000000001</v>
      </c>
      <c r="V19" s="34">
        <v>5312.5072099999998</v>
      </c>
      <c r="W19" s="34">
        <v>4721.9086200000002</v>
      </c>
      <c r="X19" s="34">
        <v>3348.1720399999999</v>
      </c>
      <c r="Y19" s="50">
        <v>3348.1720399999999</v>
      </c>
    </row>
    <row r="20" spans="1:25" x14ac:dyDescent="0.3">
      <c r="A20" s="126" t="s">
        <v>250</v>
      </c>
      <c r="B20" s="34">
        <v>36638.396110000001</v>
      </c>
      <c r="C20" s="34">
        <v>32502.501090000002</v>
      </c>
      <c r="D20" s="34">
        <v>10666.992340000001</v>
      </c>
      <c r="E20" s="34">
        <v>32384.661090000001</v>
      </c>
      <c r="F20" s="34">
        <v>281842.55845999997</v>
      </c>
      <c r="G20" s="34">
        <v>50.88904405155737</v>
      </c>
      <c r="H20" s="34">
        <v>224312.2</v>
      </c>
      <c r="I20" s="34">
        <v>58.774014023246309</v>
      </c>
      <c r="J20" s="351">
        <f t="shared" si="0"/>
        <v>79.587767449192796</v>
      </c>
      <c r="K20" s="240">
        <f>224976.2-664</f>
        <v>224312.2</v>
      </c>
      <c r="L20" s="240">
        <f t="shared" si="1"/>
        <v>0</v>
      </c>
      <c r="M20" s="34">
        <v>271058.42612000002</v>
      </c>
      <c r="N20" s="34">
        <v>47.348673927552412</v>
      </c>
      <c r="O20" s="34">
        <v>192411.16684999998</v>
      </c>
      <c r="P20" s="34">
        <v>50.415251051545027</v>
      </c>
      <c r="Q20" s="351">
        <f t="shared" si="2"/>
        <v>70.98512656633585</v>
      </c>
      <c r="R20" s="34">
        <v>19088.165430000001</v>
      </c>
      <c r="S20" s="34">
        <v>5382.9981600000001</v>
      </c>
      <c r="T20" s="34">
        <v>6479.5624500000004</v>
      </c>
      <c r="U20" s="34">
        <v>4849.7781700000005</v>
      </c>
      <c r="V20" s="34">
        <v>14462.790550000002</v>
      </c>
      <c r="W20" s="34">
        <v>1824.1231000000014</v>
      </c>
      <c r="X20" s="34">
        <v>6954.0804100000005</v>
      </c>
      <c r="Y20" s="50">
        <v>3216.5876900000003</v>
      </c>
    </row>
    <row r="21" spans="1:25" ht="26.4" x14ac:dyDescent="0.3">
      <c r="A21" s="126" t="s">
        <v>251</v>
      </c>
      <c r="B21" s="34">
        <v>30338.991710000002</v>
      </c>
      <c r="C21" s="34">
        <v>29720.200390000002</v>
      </c>
      <c r="D21" s="34">
        <v>3552.8015300000011</v>
      </c>
      <c r="E21" s="34">
        <v>4147.4423099999985</v>
      </c>
      <c r="F21" s="34">
        <v>70078.362269999998</v>
      </c>
      <c r="G21" s="34">
        <v>51.596276770451816</v>
      </c>
      <c r="H21" s="34">
        <v>68352</v>
      </c>
      <c r="I21" s="34">
        <v>54.095774488380663</v>
      </c>
      <c r="J21" s="352">
        <f t="shared" si="0"/>
        <v>97.536525948839071</v>
      </c>
      <c r="K21" s="240">
        <v>68352</v>
      </c>
      <c r="L21" s="240">
        <f t="shared" si="1"/>
        <v>0</v>
      </c>
      <c r="M21" s="34">
        <v>63026.883409999995</v>
      </c>
      <c r="N21" s="34">
        <v>44.221557857873883</v>
      </c>
      <c r="O21" s="34">
        <v>61427.092689999998</v>
      </c>
      <c r="P21" s="34">
        <v>46.230321052157862</v>
      </c>
      <c r="Q21" s="352">
        <f t="shared" si="2"/>
        <v>97.461732782195341</v>
      </c>
      <c r="R21" s="34">
        <v>10547.049789999999</v>
      </c>
      <c r="S21" s="34">
        <v>-2097.2157499999998</v>
      </c>
      <c r="T21" s="34">
        <v>6223.4369500000003</v>
      </c>
      <c r="U21" s="34">
        <v>-1170.5672399999994</v>
      </c>
      <c r="V21" s="34">
        <v>8238.5413200000003</v>
      </c>
      <c r="W21" s="34">
        <v>-561.77885999999944</v>
      </c>
      <c r="X21" s="34">
        <v>5171.8058099999998</v>
      </c>
      <c r="Y21" s="50">
        <v>2854.6597699999998</v>
      </c>
    </row>
    <row r="22" spans="1:25" ht="39.6" x14ac:dyDescent="0.3">
      <c r="A22" s="126" t="s">
        <v>252</v>
      </c>
      <c r="B22" s="34">
        <v>17960.071110000001</v>
      </c>
      <c r="C22" s="34">
        <v>3991.63013</v>
      </c>
      <c r="D22" s="34">
        <v>4506.6045700000004</v>
      </c>
      <c r="E22" s="34">
        <v>2887.5454500000001</v>
      </c>
      <c r="F22" s="34">
        <v>79049.810089999999</v>
      </c>
      <c r="G22" s="34">
        <v>49.153421279098836</v>
      </c>
      <c r="H22" s="34">
        <v>21671</v>
      </c>
      <c r="I22" s="34">
        <v>51.313318826407027</v>
      </c>
      <c r="J22" s="351">
        <f t="shared" si="0"/>
        <v>27.414360610515164</v>
      </c>
      <c r="K22" s="240">
        <v>21671</v>
      </c>
      <c r="L22" s="240">
        <f t="shared" si="1"/>
        <v>0</v>
      </c>
      <c r="M22" s="34">
        <v>74542.672999999995</v>
      </c>
      <c r="N22" s="34">
        <v>46.034980764777288</v>
      </c>
      <c r="O22" s="34">
        <v>18782.922030000002</v>
      </c>
      <c r="P22" s="34">
        <v>43.342285254969319</v>
      </c>
      <c r="Q22" s="351">
        <f t="shared" si="2"/>
        <v>25.197542929537828</v>
      </c>
      <c r="R22" s="34">
        <v>7599.5672500000001</v>
      </c>
      <c r="S22" s="34">
        <v>1891.6093200000003</v>
      </c>
      <c r="T22" s="34">
        <v>503.11071999999996</v>
      </c>
      <c r="U22" s="34">
        <v>503.11071999999996</v>
      </c>
      <c r="V22" s="34">
        <v>25301.986760000003</v>
      </c>
      <c r="W22" s="34">
        <v>3145.4089200000017</v>
      </c>
      <c r="X22" s="34">
        <v>1296.2222199999999</v>
      </c>
      <c r="Y22" s="50">
        <v>1296.2222199999999</v>
      </c>
    </row>
    <row r="23" spans="1:25" ht="26.4" x14ac:dyDescent="0.3">
      <c r="A23" s="126" t="s">
        <v>253</v>
      </c>
      <c r="B23" s="34">
        <v>15886.797119999999</v>
      </c>
      <c r="C23" s="34">
        <v>9475.3204499999993</v>
      </c>
      <c r="D23" s="34">
        <v>12111.49957</v>
      </c>
      <c r="E23" s="34">
        <v>9475.3204499999993</v>
      </c>
      <c r="F23" s="34">
        <v>121388.21323000001</v>
      </c>
      <c r="G23" s="34">
        <v>50.495539883551935</v>
      </c>
      <c r="H23" s="34">
        <v>81357.600000000006</v>
      </c>
      <c r="I23" s="34">
        <v>48.715025459980168</v>
      </c>
      <c r="J23" s="351">
        <f t="shared" si="0"/>
        <v>67.022652228884766</v>
      </c>
      <c r="K23" s="240">
        <v>81357.600000000006</v>
      </c>
      <c r="L23" s="240">
        <f t="shared" si="1"/>
        <v>0</v>
      </c>
      <c r="M23" s="34">
        <v>109276.71365999999</v>
      </c>
      <c r="N23" s="34">
        <v>45.457351304008597</v>
      </c>
      <c r="O23" s="34">
        <v>71882.279550000007</v>
      </c>
      <c r="P23" s="34">
        <v>43.04142548943998</v>
      </c>
      <c r="Q23" s="351">
        <f t="shared" si="2"/>
        <v>65.780052439765157</v>
      </c>
      <c r="R23" s="34">
        <v>7659.5813099999996</v>
      </c>
      <c r="S23" s="34">
        <v>877.58629999999982</v>
      </c>
      <c r="T23" s="34">
        <v>733.15426000000002</v>
      </c>
      <c r="U23" s="34">
        <v>-558.54103000000009</v>
      </c>
      <c r="V23" s="34">
        <v>4027.84755</v>
      </c>
      <c r="W23" s="34">
        <v>2094.8972999999996</v>
      </c>
      <c r="X23" s="34">
        <v>1694.14813</v>
      </c>
      <c r="Y23" s="50">
        <v>1355.72892</v>
      </c>
    </row>
    <row r="24" spans="1:25" s="244" customFormat="1" ht="13.8" thickBot="1" x14ac:dyDescent="0.35">
      <c r="A24" s="354" t="s">
        <v>388</v>
      </c>
      <c r="B24" s="304">
        <f>SUM(B8:B23)</f>
        <v>3282590.8461199994</v>
      </c>
      <c r="C24" s="304">
        <f t="shared" ref="C24:H24" si="3">SUM(C8:C23)</f>
        <v>1072261.4037099998</v>
      </c>
      <c r="D24" s="304">
        <f t="shared" si="3"/>
        <v>219192.56073000008</v>
      </c>
      <c r="E24" s="304">
        <f t="shared" si="3"/>
        <v>336990.86848999991</v>
      </c>
      <c r="F24" s="304">
        <f t="shared" si="3"/>
        <v>14334674.601439999</v>
      </c>
      <c r="G24" s="304">
        <v>48.605738278651359</v>
      </c>
      <c r="H24" s="304">
        <f t="shared" si="3"/>
        <v>6008955.9502699999</v>
      </c>
      <c r="I24" s="304">
        <v>51.294302403279218</v>
      </c>
      <c r="J24" s="355">
        <f t="shared" si="0"/>
        <v>41.919025840086846</v>
      </c>
      <c r="K24" s="356">
        <f t="shared" ref="K24:M24" si="4">SUM(K8:K23)</f>
        <v>6017455.9502700008</v>
      </c>
      <c r="L24" s="356">
        <f t="shared" si="4"/>
        <v>8500</v>
      </c>
      <c r="M24" s="304">
        <f t="shared" si="4"/>
        <v>14157245.016979998</v>
      </c>
      <c r="N24" s="304">
        <v>44.567999410307905</v>
      </c>
      <c r="O24" s="304">
        <f t="shared" ref="O24" si="5">SUM(O8:O23)</f>
        <v>5541009.9208800001</v>
      </c>
      <c r="P24" s="304">
        <v>45.537915627614289</v>
      </c>
      <c r="Q24" s="357">
        <f t="shared" si="2"/>
        <v>39.139040923811038</v>
      </c>
      <c r="R24" s="304">
        <f t="shared" ref="R24:Y24" si="6">SUM(R8:R23)</f>
        <v>1350235.8976600005</v>
      </c>
      <c r="S24" s="304">
        <f t="shared" si="6"/>
        <v>501554.8807000001</v>
      </c>
      <c r="T24" s="304">
        <f t="shared" si="6"/>
        <v>623587.25087999983</v>
      </c>
      <c r="U24" s="304">
        <f t="shared" si="6"/>
        <v>444129.1617</v>
      </c>
      <c r="V24" s="304">
        <f t="shared" si="6"/>
        <v>3966340.6453800001</v>
      </c>
      <c r="W24" s="304">
        <f t="shared" si="6"/>
        <v>1709578.5786600003</v>
      </c>
      <c r="X24" s="304">
        <f t="shared" si="6"/>
        <v>1213891.7884300002</v>
      </c>
      <c r="Y24" s="270">
        <f t="shared" si="6"/>
        <v>768404.90694999986</v>
      </c>
    </row>
    <row r="25" spans="1:25" ht="13.8" thickTop="1" x14ac:dyDescent="0.3"/>
  </sheetData>
  <mergeCells count="13">
    <mergeCell ref="D5:E5"/>
    <mergeCell ref="R5:U5"/>
    <mergeCell ref="V5:Y5"/>
    <mergeCell ref="W1:Y1"/>
    <mergeCell ref="A2:Y2"/>
    <mergeCell ref="A4:A6"/>
    <mergeCell ref="B4:E4"/>
    <mergeCell ref="F4:J5"/>
    <mergeCell ref="K4:K6"/>
    <mergeCell ref="L4:L6"/>
    <mergeCell ref="M4:Q5"/>
    <mergeCell ref="R4:Y4"/>
    <mergeCell ref="B5:C5"/>
  </mergeCells>
  <printOptions horizontalCentered="1"/>
  <pageMargins left="0" right="0" top="0.94488188976377963" bottom="0" header="0.70866141732283472" footer="0"/>
  <pageSetup paperSize="9" scale="63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Приложение № 1.1</vt:lpstr>
      <vt:lpstr>Приложение № 1.2</vt:lpstr>
      <vt:lpstr>Приложение № 1.3</vt:lpstr>
      <vt:lpstr>Приложение № 1.4</vt:lpstr>
      <vt:lpstr>Приложение № 1.5</vt:lpstr>
      <vt:lpstr>Приложение № 4.1</vt:lpstr>
      <vt:lpstr>Приложение № 4.2</vt:lpstr>
      <vt:lpstr>Приложение № 4.3</vt:lpstr>
      <vt:lpstr>Приложение № 4.4</vt:lpstr>
      <vt:lpstr>Черн</vt:lpstr>
      <vt:lpstr>Безвозмезд.</vt:lpstr>
      <vt:lpstr>'Приложение № 4.1'!Заголовки_для_печати</vt:lpstr>
      <vt:lpstr>'Приложение № 1.1'!Область_печати</vt:lpstr>
      <vt:lpstr>'Приложение № 1.2'!Область_печати</vt:lpstr>
      <vt:lpstr>'Приложение № 1.3'!Область_печати</vt:lpstr>
      <vt:lpstr>'Приложение № 1.4'!Область_печати</vt:lpstr>
      <vt:lpstr>'Приложение № 1.5'!Область_печати</vt:lpstr>
      <vt:lpstr>'Приложение № 4.1'!Область_печати</vt:lpstr>
      <vt:lpstr>'Приложение № 4.4'!Область_печати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Кичев</dc:creator>
  <cp:lastModifiedBy>Сергей Калинин</cp:lastModifiedBy>
  <cp:lastPrinted>2016-09-14T11:02:57Z</cp:lastPrinted>
  <dcterms:created xsi:type="dcterms:W3CDTF">2016-08-15T11:30:33Z</dcterms:created>
  <dcterms:modified xsi:type="dcterms:W3CDTF">2016-09-14T11:03:00Z</dcterms:modified>
</cp:coreProperties>
</file>