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19416" windowHeight="11016" tabRatio="669" activeTab="5"/>
  </bookViews>
  <sheets>
    <sheet name="Приложение 3.1 " sheetId="1" r:id="rId1"/>
    <sheet name="Приложение 4.1" sheetId="3" r:id="rId2"/>
    <sheet name="Приложение 6.1" sheetId="5" r:id="rId3"/>
    <sheet name="Прилоежние 6.2" sheetId="4" r:id="rId4"/>
    <sheet name="Приложение 6.3" sheetId="6" r:id="rId5"/>
    <sheet name="Приложение 7.1" sheetId="7" r:id="rId6"/>
  </sheets>
  <definedNames>
    <definedName name="_xlnm.Print_Titles" localSheetId="3">'Прилоежние 6.2'!$5:$7</definedName>
    <definedName name="_xlnm.Print_Titles" localSheetId="0">'Приложение 3.1 '!$4:$5</definedName>
    <definedName name="_xlnm.Print_Titles" localSheetId="4">'Приложение 6.3'!$5:$6</definedName>
    <definedName name="_xlnm.Print_Area" localSheetId="3">'Прилоежние 6.2'!$A$1:$AM$36</definedName>
    <definedName name="_xlnm.Print_Area" localSheetId="0">'Приложение 3.1 '!$A$1:$K$44</definedName>
    <definedName name="_xlnm.Print_Area" localSheetId="1">'Приложение 4.1'!$A$1:$I$34</definedName>
    <definedName name="_xlnm.Print_Area" localSheetId="4">'Приложение 6.3'!$A$1:$S$111</definedName>
  </definedNames>
  <calcPr calcId="145621"/>
</workbook>
</file>

<file path=xl/calcChain.xml><?xml version="1.0" encoding="utf-8"?>
<calcChain xmlns="http://schemas.openxmlformats.org/spreadsheetml/2006/main">
  <c r="H44" i="1" l="1"/>
  <c r="M30" i="7" l="1"/>
  <c r="I30" i="7"/>
  <c r="H30" i="7"/>
  <c r="G30" i="7"/>
  <c r="F30" i="7"/>
  <c r="E30" i="7"/>
  <c r="D30" i="7"/>
  <c r="C30" i="7"/>
  <c r="B30" i="7"/>
  <c r="L29" i="7"/>
  <c r="K29" i="7"/>
  <c r="J29" i="7"/>
  <c r="J28" i="7"/>
  <c r="L27" i="7"/>
  <c r="J27" i="7"/>
  <c r="J26" i="7"/>
  <c r="L24" i="7"/>
  <c r="K24" i="7"/>
  <c r="J24" i="7"/>
  <c r="L23" i="7"/>
  <c r="K23" i="7"/>
  <c r="J23" i="7"/>
  <c r="L22" i="7"/>
  <c r="K22" i="7"/>
  <c r="J22" i="7"/>
  <c r="J21" i="7"/>
  <c r="L20" i="7"/>
  <c r="K20" i="7"/>
  <c r="J20" i="7"/>
  <c r="K19" i="7"/>
  <c r="J19" i="7"/>
  <c r="L17" i="7"/>
  <c r="K17" i="7"/>
  <c r="J17" i="7"/>
  <c r="L16" i="7"/>
  <c r="K16" i="7"/>
  <c r="J16" i="7"/>
  <c r="L15" i="7"/>
  <c r="K15" i="7"/>
  <c r="J15" i="7"/>
  <c r="L14" i="7"/>
  <c r="L13" i="7"/>
  <c r="K13" i="7"/>
  <c r="J13" i="7"/>
  <c r="L11" i="7"/>
  <c r="K11" i="7"/>
  <c r="J11" i="7"/>
  <c r="L10" i="7"/>
  <c r="K10" i="7"/>
  <c r="J10" i="7"/>
  <c r="K9" i="7"/>
  <c r="J9" i="7"/>
  <c r="L8" i="7"/>
  <c r="K8" i="7"/>
  <c r="J8" i="7"/>
  <c r="J30" i="7" s="1"/>
  <c r="I8" i="7"/>
  <c r="H8" i="7"/>
  <c r="L30" i="7" l="1"/>
  <c r="K30" i="7"/>
  <c r="N112" i="6"/>
  <c r="J112" i="6"/>
  <c r="S110" i="6"/>
  <c r="R110" i="6"/>
  <c r="Q110" i="6"/>
  <c r="P110" i="6"/>
  <c r="M110" i="6"/>
  <c r="L110" i="6"/>
  <c r="I110" i="6"/>
  <c r="H110" i="6"/>
  <c r="Q109" i="6"/>
  <c r="P109" i="6"/>
  <c r="M109" i="6"/>
  <c r="L109" i="6"/>
  <c r="I109" i="6"/>
  <c r="H109" i="6"/>
  <c r="Q108" i="6"/>
  <c r="P108" i="6"/>
  <c r="M108" i="6"/>
  <c r="L108" i="6"/>
  <c r="I108" i="6"/>
  <c r="H108" i="6"/>
  <c r="Q107" i="6"/>
  <c r="P107" i="6"/>
  <c r="M107" i="6"/>
  <c r="L107" i="6"/>
  <c r="I107" i="6"/>
  <c r="H107" i="6"/>
  <c r="Q106" i="6"/>
  <c r="P106" i="6"/>
  <c r="M106" i="6"/>
  <c r="L106" i="6"/>
  <c r="I106" i="6"/>
  <c r="H106" i="6"/>
  <c r="Q105" i="6"/>
  <c r="P105" i="6"/>
  <c r="M105" i="6"/>
  <c r="L105" i="6"/>
  <c r="I105" i="6"/>
  <c r="H105" i="6"/>
  <c r="R104" i="6"/>
  <c r="Q104" i="6"/>
  <c r="O104" i="6"/>
  <c r="S104" i="6" s="1"/>
  <c r="N104" i="6"/>
  <c r="P104" i="6" s="1"/>
  <c r="M104" i="6"/>
  <c r="K104" i="6"/>
  <c r="J104" i="6"/>
  <c r="L104" i="6" s="1"/>
  <c r="I104" i="6"/>
  <c r="G104" i="6"/>
  <c r="F104" i="6"/>
  <c r="H104" i="6" s="1"/>
  <c r="E104" i="6"/>
  <c r="D104" i="6"/>
  <c r="C104" i="6"/>
  <c r="Q103" i="6"/>
  <c r="P103" i="6"/>
  <c r="M103" i="6"/>
  <c r="L103" i="6"/>
  <c r="I103" i="6"/>
  <c r="H103" i="6"/>
  <c r="Q102" i="6"/>
  <c r="P102" i="6"/>
  <c r="M102" i="6"/>
  <c r="L102" i="6"/>
  <c r="I102" i="6"/>
  <c r="H102" i="6"/>
  <c r="Q101" i="6"/>
  <c r="P101" i="6"/>
  <c r="M101" i="6"/>
  <c r="L101" i="6"/>
  <c r="I101" i="6"/>
  <c r="H101" i="6"/>
  <c r="Q100" i="6"/>
  <c r="P100" i="6"/>
  <c r="M100" i="6"/>
  <c r="L100" i="6"/>
  <c r="I100" i="6"/>
  <c r="H100" i="6"/>
  <c r="R99" i="6"/>
  <c r="O99" i="6"/>
  <c r="S99" i="6" s="1"/>
  <c r="N99" i="6"/>
  <c r="Q99" i="6" s="1"/>
  <c r="K99" i="6"/>
  <c r="J99" i="6"/>
  <c r="M99" i="6" s="1"/>
  <c r="G99" i="6"/>
  <c r="F99" i="6"/>
  <c r="I99" i="6" s="1"/>
  <c r="E99" i="6"/>
  <c r="D99" i="6"/>
  <c r="C99" i="6"/>
  <c r="S98" i="6"/>
  <c r="R98" i="6"/>
  <c r="Q98" i="6"/>
  <c r="P98" i="6"/>
  <c r="M98" i="6"/>
  <c r="L98" i="6"/>
  <c r="I98" i="6"/>
  <c r="H98" i="6"/>
  <c r="S97" i="6"/>
  <c r="R97" i="6"/>
  <c r="Q97" i="6"/>
  <c r="P97" i="6"/>
  <c r="M97" i="6"/>
  <c r="L97" i="6"/>
  <c r="I97" i="6"/>
  <c r="H97" i="6"/>
  <c r="Q96" i="6"/>
  <c r="P96" i="6"/>
  <c r="M96" i="6"/>
  <c r="L96" i="6"/>
  <c r="I96" i="6"/>
  <c r="H96" i="6"/>
  <c r="Q95" i="6"/>
  <c r="P95" i="6"/>
  <c r="M95" i="6"/>
  <c r="L95" i="6"/>
  <c r="I95" i="6"/>
  <c r="H95" i="6"/>
  <c r="Q94" i="6"/>
  <c r="P94" i="6"/>
  <c r="M94" i="6"/>
  <c r="L94" i="6"/>
  <c r="I94" i="6"/>
  <c r="H94" i="6"/>
  <c r="Q93" i="6"/>
  <c r="P93" i="6"/>
  <c r="M93" i="6"/>
  <c r="L93" i="6"/>
  <c r="I93" i="6"/>
  <c r="H93" i="6"/>
  <c r="Q92" i="6"/>
  <c r="P92" i="6"/>
  <c r="M92" i="6"/>
  <c r="L92" i="6"/>
  <c r="I92" i="6"/>
  <c r="H92" i="6"/>
  <c r="Q91" i="6"/>
  <c r="P91" i="6"/>
  <c r="M91" i="6"/>
  <c r="L91" i="6"/>
  <c r="I91" i="6"/>
  <c r="H91" i="6"/>
  <c r="O90" i="6"/>
  <c r="P90" i="6" s="1"/>
  <c r="N90" i="6"/>
  <c r="Q90" i="6" s="1"/>
  <c r="K90" i="6"/>
  <c r="R90" i="6" s="1"/>
  <c r="J90" i="6"/>
  <c r="M90" i="6" s="1"/>
  <c r="G90" i="6"/>
  <c r="H90" i="6" s="1"/>
  <c r="F90" i="6"/>
  <c r="I90" i="6" s="1"/>
  <c r="E90" i="6"/>
  <c r="D90" i="6"/>
  <c r="C90" i="6"/>
  <c r="Q89" i="6"/>
  <c r="P89" i="6"/>
  <c r="M89" i="6"/>
  <c r="L89" i="6"/>
  <c r="I89" i="6"/>
  <c r="H89" i="6"/>
  <c r="Q88" i="6"/>
  <c r="P88" i="6"/>
  <c r="M88" i="6"/>
  <c r="L88" i="6"/>
  <c r="I88" i="6"/>
  <c r="H88" i="6"/>
  <c r="Q87" i="6"/>
  <c r="P87" i="6"/>
  <c r="M87" i="6"/>
  <c r="L87" i="6"/>
  <c r="I87" i="6"/>
  <c r="H87" i="6"/>
  <c r="Q86" i="6"/>
  <c r="P86" i="6"/>
  <c r="M86" i="6"/>
  <c r="L86" i="6"/>
  <c r="I86" i="6"/>
  <c r="H86" i="6"/>
  <c r="Q85" i="6"/>
  <c r="P85" i="6"/>
  <c r="O85" i="6"/>
  <c r="S85" i="6" s="1"/>
  <c r="N85" i="6"/>
  <c r="M85" i="6"/>
  <c r="L85" i="6"/>
  <c r="K85" i="6"/>
  <c r="R85" i="6" s="1"/>
  <c r="J85" i="6"/>
  <c r="I85" i="6"/>
  <c r="H85" i="6"/>
  <c r="G85" i="6"/>
  <c r="F85" i="6"/>
  <c r="E85" i="6"/>
  <c r="D85" i="6"/>
  <c r="C85" i="6"/>
  <c r="Q84" i="6"/>
  <c r="P84" i="6"/>
  <c r="M84" i="6"/>
  <c r="L84" i="6"/>
  <c r="I84" i="6"/>
  <c r="H84" i="6"/>
  <c r="Q83" i="6"/>
  <c r="P83" i="6"/>
  <c r="M83" i="6"/>
  <c r="L83" i="6"/>
  <c r="I83" i="6"/>
  <c r="H83" i="6"/>
  <c r="R82" i="6"/>
  <c r="Q82" i="6"/>
  <c r="O82" i="6"/>
  <c r="S82" i="6" s="1"/>
  <c r="N82" i="6"/>
  <c r="P82" i="6" s="1"/>
  <c r="M82" i="6"/>
  <c r="K82" i="6"/>
  <c r="J82" i="6"/>
  <c r="L82" i="6" s="1"/>
  <c r="I82" i="6"/>
  <c r="G82" i="6"/>
  <c r="F82" i="6"/>
  <c r="H82" i="6" s="1"/>
  <c r="E82" i="6"/>
  <c r="D82" i="6"/>
  <c r="C82" i="6"/>
  <c r="Q81" i="6"/>
  <c r="P81" i="6"/>
  <c r="M81" i="6"/>
  <c r="L81" i="6"/>
  <c r="I81" i="6"/>
  <c r="H81" i="6"/>
  <c r="Q80" i="6"/>
  <c r="P80" i="6"/>
  <c r="M80" i="6"/>
  <c r="L80" i="6"/>
  <c r="I80" i="6"/>
  <c r="H80" i="6"/>
  <c r="P79" i="6"/>
  <c r="L79" i="6"/>
  <c r="I79" i="6"/>
  <c r="H79" i="6"/>
  <c r="Q78" i="6"/>
  <c r="P78" i="6"/>
  <c r="M78" i="6"/>
  <c r="L78" i="6"/>
  <c r="I78" i="6"/>
  <c r="H78" i="6"/>
  <c r="Q77" i="6"/>
  <c r="P77" i="6"/>
  <c r="O77" i="6"/>
  <c r="S77" i="6" s="1"/>
  <c r="N77" i="6"/>
  <c r="M77" i="6"/>
  <c r="L77" i="6"/>
  <c r="K77" i="6"/>
  <c r="R77" i="6" s="1"/>
  <c r="J77" i="6"/>
  <c r="I77" i="6"/>
  <c r="H77" i="6"/>
  <c r="G77" i="6"/>
  <c r="F77" i="6"/>
  <c r="E77" i="6"/>
  <c r="D77" i="6"/>
  <c r="C77" i="6"/>
  <c r="S76" i="6"/>
  <c r="R76" i="6"/>
  <c r="Q76" i="6"/>
  <c r="P76" i="6"/>
  <c r="M76" i="6"/>
  <c r="L76" i="6"/>
  <c r="I76" i="6"/>
  <c r="H76" i="6"/>
  <c r="Q75" i="6"/>
  <c r="P75" i="6"/>
  <c r="M75" i="6"/>
  <c r="L75" i="6"/>
  <c r="I75" i="6"/>
  <c r="H75" i="6"/>
  <c r="Q74" i="6"/>
  <c r="P74" i="6"/>
  <c r="M74" i="6"/>
  <c r="L74" i="6"/>
  <c r="I74" i="6"/>
  <c r="H74" i="6"/>
  <c r="Q73" i="6"/>
  <c r="P73" i="6"/>
  <c r="M73" i="6"/>
  <c r="L73" i="6"/>
  <c r="I73" i="6"/>
  <c r="H73" i="6"/>
  <c r="Q72" i="6"/>
  <c r="P72" i="6"/>
  <c r="M72" i="6"/>
  <c r="L72" i="6"/>
  <c r="I72" i="6"/>
  <c r="H72" i="6"/>
  <c r="Q71" i="6"/>
  <c r="P71" i="6"/>
  <c r="M71" i="6"/>
  <c r="L71" i="6"/>
  <c r="I71" i="6"/>
  <c r="H71" i="6"/>
  <c r="Q70" i="6"/>
  <c r="P70" i="6"/>
  <c r="M70" i="6"/>
  <c r="L70" i="6"/>
  <c r="I70" i="6"/>
  <c r="H70" i="6"/>
  <c r="R69" i="6"/>
  <c r="Q69" i="6"/>
  <c r="O69" i="6"/>
  <c r="S69" i="6" s="1"/>
  <c r="N69" i="6"/>
  <c r="P69" i="6" s="1"/>
  <c r="M69" i="6"/>
  <c r="K69" i="6"/>
  <c r="J69" i="6"/>
  <c r="L69" i="6" s="1"/>
  <c r="I69" i="6"/>
  <c r="G69" i="6"/>
  <c r="F69" i="6"/>
  <c r="H69" i="6" s="1"/>
  <c r="E69" i="6"/>
  <c r="D69" i="6"/>
  <c r="C69" i="6"/>
  <c r="Q68" i="6"/>
  <c r="P68" i="6"/>
  <c r="M68" i="6"/>
  <c r="L68" i="6"/>
  <c r="I68" i="6"/>
  <c r="H68" i="6"/>
  <c r="Q67" i="6"/>
  <c r="P67" i="6"/>
  <c r="M67" i="6"/>
  <c r="L67" i="6"/>
  <c r="H67" i="6"/>
  <c r="Q66" i="6"/>
  <c r="P66" i="6"/>
  <c r="M66" i="6"/>
  <c r="L66" i="6"/>
  <c r="I66" i="6"/>
  <c r="H66" i="6"/>
  <c r="Q65" i="6"/>
  <c r="P65" i="6"/>
  <c r="M65" i="6"/>
  <c r="L65" i="6"/>
  <c r="I65" i="6"/>
  <c r="H65" i="6"/>
  <c r="Q64" i="6"/>
  <c r="P64" i="6"/>
  <c r="M64" i="6"/>
  <c r="L64" i="6"/>
  <c r="I64" i="6"/>
  <c r="H64" i="6"/>
  <c r="O63" i="6"/>
  <c r="S63" i="6" s="1"/>
  <c r="N63" i="6"/>
  <c r="Q63" i="6" s="1"/>
  <c r="K63" i="6"/>
  <c r="R63" i="6" s="1"/>
  <c r="J63" i="6"/>
  <c r="M63" i="6" s="1"/>
  <c r="G63" i="6"/>
  <c r="H63" i="6" s="1"/>
  <c r="F63" i="6"/>
  <c r="I63" i="6" s="1"/>
  <c r="E63" i="6"/>
  <c r="D63" i="6"/>
  <c r="C63" i="6"/>
  <c r="Q62" i="6"/>
  <c r="P62" i="6"/>
  <c r="M62" i="6"/>
  <c r="L62" i="6"/>
  <c r="I62" i="6"/>
  <c r="H62" i="6"/>
  <c r="Q61" i="6"/>
  <c r="P61" i="6"/>
  <c r="M61" i="6"/>
  <c r="L61" i="6"/>
  <c r="Q60" i="6"/>
  <c r="P60" i="6"/>
  <c r="M60" i="6"/>
  <c r="L60" i="6"/>
  <c r="I60" i="6"/>
  <c r="H60" i="6"/>
  <c r="Q59" i="6"/>
  <c r="P59" i="6"/>
  <c r="O59" i="6"/>
  <c r="S59" i="6" s="1"/>
  <c r="N59" i="6"/>
  <c r="M59" i="6"/>
  <c r="L59" i="6"/>
  <c r="K59" i="6"/>
  <c r="R59" i="6" s="1"/>
  <c r="J59" i="6"/>
  <c r="I59" i="6"/>
  <c r="H59" i="6"/>
  <c r="G59" i="6"/>
  <c r="F59" i="6"/>
  <c r="E59" i="6"/>
  <c r="D59" i="6"/>
  <c r="C59" i="6"/>
  <c r="Q58" i="6"/>
  <c r="P58" i="6"/>
  <c r="M58" i="6"/>
  <c r="L58" i="6"/>
  <c r="I58" i="6"/>
  <c r="H58" i="6"/>
  <c r="Q57" i="6"/>
  <c r="P57" i="6"/>
  <c r="M57" i="6"/>
  <c r="L57" i="6"/>
  <c r="I57" i="6"/>
  <c r="H57" i="6"/>
  <c r="Q56" i="6"/>
  <c r="P56" i="6"/>
  <c r="M56" i="6"/>
  <c r="L56" i="6"/>
  <c r="I56" i="6"/>
  <c r="H56" i="6"/>
  <c r="Q55" i="6"/>
  <c r="P55" i="6"/>
  <c r="M55" i="6"/>
  <c r="L55" i="6"/>
  <c r="I55" i="6"/>
  <c r="H55" i="6"/>
  <c r="R54" i="6"/>
  <c r="Q54" i="6"/>
  <c r="O54" i="6"/>
  <c r="S54" i="6" s="1"/>
  <c r="N54" i="6"/>
  <c r="P54" i="6" s="1"/>
  <c r="M54" i="6"/>
  <c r="K54" i="6"/>
  <c r="J54" i="6"/>
  <c r="L54" i="6" s="1"/>
  <c r="I54" i="6"/>
  <c r="G54" i="6"/>
  <c r="F54" i="6"/>
  <c r="H54" i="6" s="1"/>
  <c r="E54" i="6"/>
  <c r="D54" i="6"/>
  <c r="C54" i="6"/>
  <c r="Q53" i="6"/>
  <c r="P53" i="6"/>
  <c r="M53" i="6"/>
  <c r="L53" i="6"/>
  <c r="I53" i="6"/>
  <c r="H53" i="6"/>
  <c r="Q52" i="6"/>
  <c r="P52" i="6"/>
  <c r="M52" i="6"/>
  <c r="L52" i="6"/>
  <c r="I52" i="6"/>
  <c r="H52" i="6"/>
  <c r="Q51" i="6"/>
  <c r="P51" i="6"/>
  <c r="M51" i="6"/>
  <c r="L51" i="6"/>
  <c r="I51" i="6"/>
  <c r="H51" i="6"/>
  <c r="Q50" i="6"/>
  <c r="P50" i="6"/>
  <c r="O50" i="6"/>
  <c r="S50" i="6" s="1"/>
  <c r="N50" i="6"/>
  <c r="M50" i="6"/>
  <c r="L50" i="6"/>
  <c r="K50" i="6"/>
  <c r="R50" i="6" s="1"/>
  <c r="J50" i="6"/>
  <c r="I50" i="6"/>
  <c r="H50" i="6"/>
  <c r="G50" i="6"/>
  <c r="F50" i="6"/>
  <c r="E50" i="6"/>
  <c r="D50" i="6"/>
  <c r="C50" i="6"/>
  <c r="Q49" i="6"/>
  <c r="P49" i="6"/>
  <c r="M49" i="6"/>
  <c r="L49" i="6"/>
  <c r="I49" i="6"/>
  <c r="H49" i="6"/>
  <c r="I48" i="6"/>
  <c r="H48" i="6"/>
  <c r="Q47" i="6"/>
  <c r="P47" i="6"/>
  <c r="M47" i="6"/>
  <c r="L47" i="6"/>
  <c r="I47" i="6"/>
  <c r="H47" i="6"/>
  <c r="Q46" i="6"/>
  <c r="P46" i="6"/>
  <c r="M46" i="6"/>
  <c r="L46" i="6"/>
  <c r="I46" i="6"/>
  <c r="H46" i="6"/>
  <c r="R45" i="6"/>
  <c r="Q45" i="6"/>
  <c r="O45" i="6"/>
  <c r="S45" i="6" s="1"/>
  <c r="N45" i="6"/>
  <c r="P45" i="6" s="1"/>
  <c r="M45" i="6"/>
  <c r="K45" i="6"/>
  <c r="J45" i="6"/>
  <c r="L45" i="6" s="1"/>
  <c r="I45" i="6"/>
  <c r="G45" i="6"/>
  <c r="F45" i="6"/>
  <c r="H45" i="6" s="1"/>
  <c r="E45" i="6"/>
  <c r="D45" i="6"/>
  <c r="C45" i="6"/>
  <c r="Q44" i="6"/>
  <c r="P44" i="6"/>
  <c r="M44" i="6"/>
  <c r="L44" i="6"/>
  <c r="I44" i="6"/>
  <c r="H44" i="6"/>
  <c r="Q43" i="6"/>
  <c r="P43" i="6"/>
  <c r="M43" i="6"/>
  <c r="L43" i="6"/>
  <c r="Q42" i="6"/>
  <c r="P42" i="6"/>
  <c r="M42" i="6"/>
  <c r="L42" i="6"/>
  <c r="I42" i="6"/>
  <c r="H42" i="6"/>
  <c r="Q41" i="6"/>
  <c r="P41" i="6"/>
  <c r="M41" i="6"/>
  <c r="L41" i="6"/>
  <c r="I41" i="6"/>
  <c r="H41" i="6"/>
  <c r="Q40" i="6"/>
  <c r="P40" i="6"/>
  <c r="O40" i="6"/>
  <c r="S40" i="6" s="1"/>
  <c r="N40" i="6"/>
  <c r="M40" i="6"/>
  <c r="L40" i="6"/>
  <c r="K40" i="6"/>
  <c r="R40" i="6" s="1"/>
  <c r="J40" i="6"/>
  <c r="I40" i="6"/>
  <c r="H40" i="6"/>
  <c r="G40" i="6"/>
  <c r="F40" i="6"/>
  <c r="E40" i="6"/>
  <c r="D40" i="6"/>
  <c r="C40" i="6"/>
  <c r="Q39" i="6"/>
  <c r="P39" i="6"/>
  <c r="M39" i="6"/>
  <c r="L39" i="6"/>
  <c r="I39" i="6"/>
  <c r="H39" i="6"/>
  <c r="Q38" i="6"/>
  <c r="P38" i="6"/>
  <c r="M38" i="6"/>
  <c r="L38" i="6"/>
  <c r="I38" i="6"/>
  <c r="H38" i="6"/>
  <c r="Q37" i="6"/>
  <c r="P37" i="6"/>
  <c r="M37" i="6"/>
  <c r="L37" i="6"/>
  <c r="I37" i="6"/>
  <c r="H37" i="6"/>
  <c r="Q36" i="6"/>
  <c r="P36" i="6"/>
  <c r="M36" i="6"/>
  <c r="L36" i="6"/>
  <c r="I36" i="6"/>
  <c r="H36" i="6"/>
  <c r="R35" i="6"/>
  <c r="Q35" i="6"/>
  <c r="O35" i="6"/>
  <c r="S35" i="6" s="1"/>
  <c r="N35" i="6"/>
  <c r="P35" i="6" s="1"/>
  <c r="M35" i="6"/>
  <c r="K35" i="6"/>
  <c r="J35" i="6"/>
  <c r="L35" i="6" s="1"/>
  <c r="I35" i="6"/>
  <c r="G35" i="6"/>
  <c r="F35" i="6"/>
  <c r="H35" i="6" s="1"/>
  <c r="E35" i="6"/>
  <c r="D35" i="6"/>
  <c r="C35" i="6"/>
  <c r="S34" i="6"/>
  <c r="R34" i="6"/>
  <c r="Q34" i="6"/>
  <c r="P34" i="6"/>
  <c r="M34" i="6"/>
  <c r="L34" i="6"/>
  <c r="I34" i="6"/>
  <c r="H34" i="6"/>
  <c r="Q33" i="6"/>
  <c r="P33" i="6"/>
  <c r="M33" i="6"/>
  <c r="L33" i="6"/>
  <c r="I33" i="6"/>
  <c r="H33" i="6"/>
  <c r="Q32" i="6"/>
  <c r="P32" i="6"/>
  <c r="M32" i="6"/>
  <c r="L32" i="6"/>
  <c r="I32" i="6"/>
  <c r="H32" i="6"/>
  <c r="Q31" i="6"/>
  <c r="P31" i="6"/>
  <c r="M31" i="6"/>
  <c r="L31" i="6"/>
  <c r="I31" i="6"/>
  <c r="H31" i="6"/>
  <c r="Q30" i="6"/>
  <c r="P30" i="6"/>
  <c r="M30" i="6"/>
  <c r="L30" i="6"/>
  <c r="I30" i="6"/>
  <c r="H30" i="6"/>
  <c r="Q29" i="6"/>
  <c r="P29" i="6"/>
  <c r="M29" i="6"/>
  <c r="L29" i="6"/>
  <c r="I29" i="6"/>
  <c r="H29" i="6"/>
  <c r="Q28" i="6"/>
  <c r="P28" i="6"/>
  <c r="M28" i="6"/>
  <c r="L28" i="6"/>
  <c r="I28" i="6"/>
  <c r="H28" i="6"/>
  <c r="Q27" i="6"/>
  <c r="P27" i="6"/>
  <c r="M27" i="6"/>
  <c r="L27" i="6"/>
  <c r="I27" i="6"/>
  <c r="H27" i="6"/>
  <c r="Q26" i="6"/>
  <c r="P26" i="6"/>
  <c r="M26" i="6"/>
  <c r="L26" i="6"/>
  <c r="I26" i="6"/>
  <c r="H26" i="6"/>
  <c r="R25" i="6"/>
  <c r="O25" i="6"/>
  <c r="S25" i="6" s="1"/>
  <c r="N25" i="6"/>
  <c r="Q25" i="6" s="1"/>
  <c r="K25" i="6"/>
  <c r="J25" i="6"/>
  <c r="M25" i="6" s="1"/>
  <c r="G25" i="6"/>
  <c r="F25" i="6"/>
  <c r="I25" i="6" s="1"/>
  <c r="E25" i="6"/>
  <c r="D25" i="6"/>
  <c r="C25" i="6"/>
  <c r="Q24" i="6"/>
  <c r="P24" i="6"/>
  <c r="M24" i="6"/>
  <c r="L24" i="6"/>
  <c r="I24" i="6"/>
  <c r="H24" i="6"/>
  <c r="Q23" i="6"/>
  <c r="P23" i="6"/>
  <c r="M23" i="6"/>
  <c r="L23" i="6"/>
  <c r="I23" i="6"/>
  <c r="H23" i="6"/>
  <c r="Q22" i="6"/>
  <c r="P22" i="6"/>
  <c r="M22" i="6"/>
  <c r="L22" i="6"/>
  <c r="I22" i="6"/>
  <c r="H22" i="6"/>
  <c r="Q21" i="6"/>
  <c r="P21" i="6"/>
  <c r="M21" i="6"/>
  <c r="L21" i="6"/>
  <c r="I21" i="6"/>
  <c r="H21" i="6"/>
  <c r="Q20" i="6"/>
  <c r="P20" i="6"/>
  <c r="M20" i="6"/>
  <c r="L20" i="6"/>
  <c r="I20" i="6"/>
  <c r="H20" i="6"/>
  <c r="Q19" i="6"/>
  <c r="P19" i="6"/>
  <c r="M19" i="6"/>
  <c r="L19" i="6"/>
  <c r="I19" i="6"/>
  <c r="H19" i="6"/>
  <c r="Q18" i="6"/>
  <c r="P18" i="6"/>
  <c r="M18" i="6"/>
  <c r="L18" i="6"/>
  <c r="I18" i="6"/>
  <c r="H18" i="6"/>
  <c r="R17" i="6"/>
  <c r="Q17" i="6"/>
  <c r="O17" i="6"/>
  <c r="S17" i="6" s="1"/>
  <c r="N17" i="6"/>
  <c r="P17" i="6" s="1"/>
  <c r="M17" i="6"/>
  <c r="K17" i="6"/>
  <c r="J17" i="6"/>
  <c r="L17" i="6" s="1"/>
  <c r="I17" i="6"/>
  <c r="G17" i="6"/>
  <c r="F17" i="6"/>
  <c r="H17" i="6" s="1"/>
  <c r="E17" i="6"/>
  <c r="D17" i="6"/>
  <c r="C17" i="6"/>
  <c r="Q16" i="6"/>
  <c r="P16" i="6"/>
  <c r="M16" i="6"/>
  <c r="L16" i="6"/>
  <c r="I16" i="6"/>
  <c r="H16" i="6"/>
  <c r="Q15" i="6"/>
  <c r="P15" i="6"/>
  <c r="M15" i="6"/>
  <c r="L15" i="6"/>
  <c r="I15" i="6"/>
  <c r="H15" i="6"/>
  <c r="Q14" i="6"/>
  <c r="P14" i="6"/>
  <c r="M14" i="6"/>
  <c r="L14" i="6"/>
  <c r="I14" i="6"/>
  <c r="H14" i="6"/>
  <c r="Q13" i="6"/>
  <c r="P13" i="6"/>
  <c r="M13" i="6"/>
  <c r="L13" i="6"/>
  <c r="I13" i="6"/>
  <c r="H13" i="6"/>
  <c r="Q12" i="6"/>
  <c r="P12" i="6"/>
  <c r="M12" i="6"/>
  <c r="L12" i="6"/>
  <c r="I12" i="6"/>
  <c r="H12" i="6"/>
  <c r="Q11" i="6"/>
  <c r="P11" i="6"/>
  <c r="M11" i="6"/>
  <c r="L11" i="6"/>
  <c r="I11" i="6"/>
  <c r="H11" i="6"/>
  <c r="Q10" i="6"/>
  <c r="P10" i="6"/>
  <c r="M10" i="6"/>
  <c r="L10" i="6"/>
  <c r="I10" i="6"/>
  <c r="H10" i="6"/>
  <c r="Q9" i="6"/>
  <c r="P9" i="6"/>
  <c r="M9" i="6"/>
  <c r="L9" i="6"/>
  <c r="I9" i="6"/>
  <c r="H9" i="6"/>
  <c r="R8" i="6"/>
  <c r="R111" i="6" s="1"/>
  <c r="R113" i="6" s="1"/>
  <c r="O8" i="6"/>
  <c r="S8" i="6" s="1"/>
  <c r="N8" i="6"/>
  <c r="Q8" i="6" s="1"/>
  <c r="K8" i="6"/>
  <c r="K111" i="6" s="1"/>
  <c r="J8" i="6"/>
  <c r="M8" i="6" s="1"/>
  <c r="G8" i="6"/>
  <c r="G111" i="6" s="1"/>
  <c r="F8" i="6"/>
  <c r="I8" i="6" s="1"/>
  <c r="E8" i="6"/>
  <c r="E111" i="6" s="1"/>
  <c r="D8" i="6"/>
  <c r="D111" i="6" s="1"/>
  <c r="C8" i="6"/>
  <c r="C111" i="6" s="1"/>
  <c r="S111" i="6" l="1"/>
  <c r="S113" i="6" s="1"/>
  <c r="F111" i="6"/>
  <c r="I111" i="6" s="1"/>
  <c r="J111" i="6"/>
  <c r="N111" i="6"/>
  <c r="P63" i="6"/>
  <c r="O111" i="6"/>
  <c r="H8" i="6"/>
  <c r="L8" i="6"/>
  <c r="P8" i="6"/>
  <c r="P111" i="6" s="1"/>
  <c r="H25" i="6"/>
  <c r="L25" i="6"/>
  <c r="P25" i="6"/>
  <c r="H99" i="6"/>
  <c r="L99" i="6"/>
  <c r="P99" i="6"/>
  <c r="S90" i="6"/>
  <c r="L63" i="6"/>
  <c r="L90" i="6"/>
  <c r="K24" i="5"/>
  <c r="I24" i="5"/>
  <c r="G24" i="5"/>
  <c r="L111" i="6" l="1"/>
  <c r="Q111" i="6"/>
  <c r="N113" i="6"/>
  <c r="H111" i="6"/>
  <c r="M111" i="6"/>
  <c r="J113" i="6"/>
  <c r="K28" i="5"/>
  <c r="K26" i="5"/>
  <c r="K22" i="5"/>
  <c r="I28" i="5"/>
  <c r="I26" i="5"/>
  <c r="G28" i="5"/>
  <c r="G26" i="5"/>
  <c r="G22" i="5"/>
  <c r="E29" i="5"/>
  <c r="J28" i="5"/>
  <c r="J29" i="5" s="1"/>
  <c r="H28" i="5"/>
  <c r="H29" i="5" s="1"/>
  <c r="F28" i="5"/>
  <c r="E28" i="5"/>
  <c r="D28" i="5"/>
  <c r="D29" i="5" s="1"/>
  <c r="C28" i="5"/>
  <c r="C29" i="5" s="1"/>
  <c r="J26" i="5"/>
  <c r="H26" i="5"/>
  <c r="F26" i="5"/>
  <c r="F27" i="5" s="1"/>
  <c r="E26" i="5"/>
  <c r="E27" i="5" s="1"/>
  <c r="D26" i="5"/>
  <c r="C26" i="5"/>
  <c r="J24" i="5"/>
  <c r="J27" i="5" s="1"/>
  <c r="H24" i="5"/>
  <c r="H27" i="5" s="1"/>
  <c r="F24" i="5"/>
  <c r="F29" i="5" s="1"/>
  <c r="E24" i="5"/>
  <c r="D24" i="5"/>
  <c r="D27" i="5" s="1"/>
  <c r="C24" i="5"/>
  <c r="C27" i="5" s="1"/>
  <c r="L23" i="5"/>
  <c r="L22" i="5"/>
  <c r="M22" i="5" s="1"/>
  <c r="I22" i="5"/>
  <c r="L21" i="5"/>
  <c r="M21" i="5" s="1"/>
  <c r="K21" i="5"/>
  <c r="I21" i="5"/>
  <c r="G21" i="5"/>
  <c r="M20" i="5"/>
  <c r="L20" i="5"/>
  <c r="K20" i="5"/>
  <c r="I20" i="5"/>
  <c r="G20" i="5"/>
  <c r="M19" i="5"/>
  <c r="L19" i="5"/>
  <c r="K19" i="5"/>
  <c r="I19" i="5"/>
  <c r="G19" i="5"/>
  <c r="M18" i="5"/>
  <c r="N18" i="5" s="1"/>
  <c r="K18" i="5"/>
  <c r="I18" i="5"/>
  <c r="G18" i="5"/>
  <c r="L17" i="5"/>
  <c r="M17" i="5" s="1"/>
  <c r="K17" i="5"/>
  <c r="I17" i="5"/>
  <c r="G17" i="5"/>
  <c r="M16" i="5"/>
  <c r="L16" i="5"/>
  <c r="K16" i="5"/>
  <c r="I16" i="5"/>
  <c r="G16" i="5"/>
  <c r="M15" i="5"/>
  <c r="L15" i="5"/>
  <c r="K15" i="5"/>
  <c r="I15" i="5"/>
  <c r="G15" i="5"/>
  <c r="L14" i="5"/>
  <c r="M14" i="5" s="1"/>
  <c r="K14" i="5"/>
  <c r="I14" i="5"/>
  <c r="G14" i="5"/>
  <c r="L13" i="5"/>
  <c r="M13" i="5" s="1"/>
  <c r="K13" i="5"/>
  <c r="I13" i="5"/>
  <c r="G13" i="5"/>
  <c r="M12" i="5"/>
  <c r="L12" i="5"/>
  <c r="K12" i="5"/>
  <c r="I12" i="5"/>
  <c r="G12" i="5"/>
  <c r="M11" i="5"/>
  <c r="L11" i="5"/>
  <c r="K11" i="5"/>
  <c r="I11" i="5"/>
  <c r="G11" i="5"/>
  <c r="L10" i="5"/>
  <c r="M10" i="5" s="1"/>
  <c r="K10" i="5"/>
  <c r="I10" i="5"/>
  <c r="G10" i="5"/>
  <c r="L9" i="5"/>
  <c r="L24" i="5" s="1"/>
  <c r="K9" i="5"/>
  <c r="I9" i="5"/>
  <c r="G9" i="5"/>
  <c r="L25" i="5" l="1"/>
  <c r="L26" i="5" s="1"/>
  <c r="L27" i="5"/>
  <c r="L28" i="5" s="1"/>
  <c r="M9" i="5"/>
  <c r="M24" i="5" s="1"/>
  <c r="B44" i="1"/>
  <c r="E44" i="1" l="1"/>
  <c r="D44" i="1"/>
  <c r="F44" i="1"/>
  <c r="G44" i="1"/>
  <c r="I44" i="1"/>
  <c r="J44" i="1"/>
  <c r="K44" i="1"/>
  <c r="E36" i="1" l="1"/>
  <c r="E37" i="1"/>
  <c r="F37" i="1"/>
  <c r="G37" i="1"/>
  <c r="H37" i="1"/>
  <c r="H38" i="1" s="1"/>
  <c r="F36" i="1"/>
  <c r="G36" i="1"/>
  <c r="H36" i="1"/>
  <c r="I36" i="1"/>
  <c r="G38" i="1" l="1"/>
  <c r="F38" i="1"/>
  <c r="E38" i="1"/>
  <c r="J37" i="1"/>
  <c r="J36" i="1"/>
  <c r="C44" i="1"/>
  <c r="C37" i="1"/>
  <c r="B37" i="1"/>
  <c r="C36" i="1"/>
  <c r="B36" i="1"/>
  <c r="C38" i="1" l="1"/>
  <c r="J38" i="1"/>
  <c r="B38" i="1"/>
  <c r="D37" i="1"/>
  <c r="K36" i="1" l="1"/>
  <c r="I37" i="1"/>
  <c r="K37" i="1"/>
  <c r="D36" i="1"/>
  <c r="D38" i="1" l="1"/>
  <c r="I38" i="1" l="1"/>
  <c r="K38" i="1"/>
</calcChain>
</file>

<file path=xl/comments1.xml><?xml version="1.0" encoding="utf-8"?>
<comments xmlns="http://schemas.openxmlformats.org/spreadsheetml/2006/main">
  <authors>
    <author>Автор</author>
  </authors>
  <commentList>
    <comment ref="P11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расхождение по программе соловков</t>
        </r>
      </text>
    </comment>
    <comment ref="P11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отсутствует финансирование в программе обеспечение общественного порядка в 2018 и 2019</t>
        </r>
      </text>
    </comment>
  </commentList>
</comments>
</file>

<file path=xl/sharedStrings.xml><?xml version="1.0" encoding="utf-8"?>
<sst xmlns="http://schemas.openxmlformats.org/spreadsheetml/2006/main" count="512" uniqueCount="416">
  <si>
    <t>Наименование</t>
  </si>
  <si>
    <t>Архангельская область  и НАО</t>
  </si>
  <si>
    <t>Архангельская область</t>
  </si>
  <si>
    <t>Российская Федерация</t>
  </si>
  <si>
    <t>Индекс потребительских цен (декабрь к декабрю) (в %)</t>
  </si>
  <si>
    <t>Инвестиции в основной капитал  (в % к предыдущему году)</t>
  </si>
  <si>
    <t>Оборот розничной торговли  (в % к предыдущему году)</t>
  </si>
  <si>
    <t>Реальные располагаемые доходы населения (в % к предыдущему году)</t>
  </si>
  <si>
    <t>Общая численность  населения (среднегодовая), тыс.чел.</t>
  </si>
  <si>
    <t>Численность населения  с денежными доходами ниже прожиточного минимума к общей численности населения (в %)</t>
  </si>
  <si>
    <t>ВВП (ВРП) на душу населения (тыс.руб.)</t>
  </si>
  <si>
    <t>Отношение ВРП на душу населения по Архангельской области к ВВП на душу населения</t>
  </si>
  <si>
    <t>Инфляция (ИПЦ) дек./дек. предыдущего года</t>
  </si>
  <si>
    <t>Показатели</t>
  </si>
  <si>
    <t>млн.руб.</t>
  </si>
  <si>
    <t>%</t>
  </si>
  <si>
    <t>2018 год</t>
  </si>
  <si>
    <t>2017 год</t>
  </si>
  <si>
    <t>отчет 2014 год</t>
  </si>
  <si>
    <t>оценка 2015 года</t>
  </si>
  <si>
    <t>прогноз 2016 год</t>
  </si>
  <si>
    <t>прогноз 2017 год</t>
  </si>
  <si>
    <t>прогноз 2018 год</t>
  </si>
  <si>
    <t>А</t>
  </si>
  <si>
    <t>ВРП и ВВП (млрд.руб.)</t>
  </si>
  <si>
    <t>Темпы роста ВРП Архангельской области и ВВП Российской Федерации (в % к предыдущему году)</t>
  </si>
  <si>
    <t>Номинальная начисленная среднемесячная заработная плата на одного работника, рублей</t>
  </si>
  <si>
    <t>Отношение среднемесячной заработной платы по Архангельской области к среднемесячной заработной плате по Российской Федерации</t>
  </si>
  <si>
    <t>Данные прогноза социально-экономического развития Архангельской области и НАО на 2016 год и плановый период для 2018 года (к проекту бюджета на 2016 год)</t>
  </si>
  <si>
    <t>отчет 2015 год</t>
  </si>
  <si>
    <t>прогноз 2019 год</t>
  </si>
  <si>
    <t>оценка 2016 год</t>
  </si>
  <si>
    <t>оценка 2015 год</t>
  </si>
  <si>
    <t>Данные прогноза социально-экономического развития Архангельской области и НАО  на 2017 год и плановый период 2018 и 2019 годов (к проекту бюджета на 2017 год и плановый период до 2019 года)</t>
  </si>
  <si>
    <t>2019 год</t>
  </si>
  <si>
    <t>Основные показатели социально-экономического развития Архангельской области и Ненецкого автономного округа и Российской Федерации за период 2015 - 2019 годов</t>
  </si>
  <si>
    <t>Приложение 3.1</t>
  </si>
  <si>
    <t>2013 год - факт</t>
  </si>
  <si>
    <t>2014 год - факт</t>
  </si>
  <si>
    <t>2015 год - факт</t>
  </si>
  <si>
    <t>2016 год - утверждено (на 01.10.2016)</t>
  </si>
  <si>
    <t>Проект на 2017 год к 1 чтению</t>
  </si>
  <si>
    <t>до выравнивания</t>
  </si>
  <si>
    <t>после выравнивания</t>
  </si>
  <si>
    <t>средняя - до выравнивания (9 835,4 руб.)</t>
  </si>
  <si>
    <t>средняя - после выравнивания (12 571,5 руб.)</t>
  </si>
  <si>
    <t>Вельский район</t>
  </si>
  <si>
    <t>Верхнетоемский район</t>
  </si>
  <si>
    <t>Вилегодский район</t>
  </si>
  <si>
    <t>Виноградовский район</t>
  </si>
  <si>
    <t>Каргопольский район</t>
  </si>
  <si>
    <t>Коношский район</t>
  </si>
  <si>
    <t>Котласский район</t>
  </si>
  <si>
    <t>Красноборский район</t>
  </si>
  <si>
    <t>Ленский район</t>
  </si>
  <si>
    <t>Лешуконский район</t>
  </si>
  <si>
    <t>Мезенский район</t>
  </si>
  <si>
    <t>Няндомский район</t>
  </si>
  <si>
    <t>Онежский район</t>
  </si>
  <si>
    <t>Пинежский район</t>
  </si>
  <si>
    <t>Плесецкий район</t>
  </si>
  <si>
    <t>Приморский район</t>
  </si>
  <si>
    <t>Устьянский район</t>
  </si>
  <si>
    <t>Холмогорский район</t>
  </si>
  <si>
    <t>Шенкурский район</t>
  </si>
  <si>
    <t>Город Архангельск</t>
  </si>
  <si>
    <t>Северодвинск</t>
  </si>
  <si>
    <t>Котлас</t>
  </si>
  <si>
    <t>Город Новодвинск</t>
  </si>
  <si>
    <t>Город Коряжма</t>
  </si>
  <si>
    <t>Мирный</t>
  </si>
  <si>
    <t>Новая Земля</t>
  </si>
  <si>
    <t>Итого по МО</t>
  </si>
  <si>
    <t>в млн.руб.</t>
  </si>
  <si>
    <t>Раздел</t>
  </si>
  <si>
    <t>Под-раз-дел</t>
  </si>
  <si>
    <t>Исполнено за 2014</t>
  </si>
  <si>
    <t>Исполнено за 2015</t>
  </si>
  <si>
    <t>Утверждено на 2016, по состоянию на 23.11.16</t>
  </si>
  <si>
    <t>Утверждено на 2016 год, с учетом законопроекта на ноябрьскую сессию</t>
  </si>
  <si>
    <t>Проект на 2017</t>
  </si>
  <si>
    <t>Изменения в % к 2014</t>
  </si>
  <si>
    <t>Изменения в % к 2015</t>
  </si>
  <si>
    <t>Изменения в % к утвержденным на 2016, по состоянию на 23.11.2016</t>
  </si>
  <si>
    <t>Изменения в % к законопроекту на 2016, внесенного на ноябрьскую сессию</t>
  </si>
  <si>
    <t>Всего</t>
  </si>
  <si>
    <t>в т.ч.</t>
  </si>
  <si>
    <t>выплаты персона-лу</t>
  </si>
  <si>
    <t>закупки</t>
  </si>
  <si>
    <t>прочие</t>
  </si>
  <si>
    <t>выплаты персоналу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</si>
  <si>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</si>
  <si>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</si>
  <si>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</si>
  <si>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</si>
  <si>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</si>
  <si>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</si>
  <si>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</si>
  <si>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</si>
  <si>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</si>
  <si>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</si>
  <si>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</si>
  <si>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Общеэкономические вопросы</t>
  </si>
  <si>
    <t>Топливно-энергетический комплекс</t>
  </si>
  <si>
    <t>Сельское хозяйство и рыболовство</t>
  </si>
  <si>
    <t>Транспорт</t>
  </si>
  <si>
    <t>Связь и информатика</t>
  </si>
  <si>
    <t>-</t>
  </si>
  <si>
    <t>Другие вопросы в области национальной экономики</t>
  </si>
  <si>
    <t>Жилищно-коммунальное хозяйство</t>
  </si>
  <si>
    <t>Другие вопросы в области жилищно-коммунального хозяйства</t>
  </si>
  <si>
    <t>Образование</t>
  </si>
  <si>
    <t>Другие вопросы в области образования</t>
  </si>
  <si>
    <t>Культура, кинематография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</si>
  <si>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</si>
  <si>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</si>
  <si>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</si>
  <si>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Средства массовой информации</t>
  </si>
  <si>
    <t>Другие вопросы в области средств массовой информации</t>
  </si>
  <si>
    <t>ИТОГО</t>
  </si>
  <si>
    <t>прочие расходы</t>
  </si>
  <si>
    <t>Функциональная структура расходов областного бюджета в 2014 - 2019 годах</t>
  </si>
  <si>
    <t xml:space="preserve">Наименование показателя </t>
  </si>
  <si>
    <t xml:space="preserve">Отчет 2014 года </t>
  </si>
  <si>
    <t xml:space="preserve">Отчет 2015 года </t>
  </si>
  <si>
    <t>Оценка 2016 года</t>
  </si>
  <si>
    <t>Проект бюджета</t>
  </si>
  <si>
    <t>5=4/3*100</t>
  </si>
  <si>
    <t>7=6/4*100</t>
  </si>
  <si>
    <t>9=8/6*100</t>
  </si>
  <si>
    <t>Национальная оборона</t>
  </si>
  <si>
    <t>Охрана окружающей среды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</si>
  <si>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</si>
  <si>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</si>
  <si>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</si>
  <si>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</si>
  <si>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Условно утвержденные расходы</t>
  </si>
  <si>
    <t>Итого</t>
  </si>
  <si>
    <t>х</t>
  </si>
  <si>
    <t>Из общей суммы расходов:</t>
  </si>
  <si>
    <t>- расходы на социальную сферу</t>
  </si>
  <si>
    <t>удельный вес в общей сумме расходов, %</t>
  </si>
  <si>
    <t>- расходы на национальную экономику и ЖКХ</t>
  </si>
  <si>
    <t>% к показателям оценки 2016 года</t>
  </si>
  <si>
    <t>% к показателям 2017 года</t>
  </si>
  <si>
    <t>% к показателям 2018 года</t>
  </si>
  <si>
    <t>Сведения о финансовом обеспечении реализации государственных программ Архангельской области в 2017 - 2019 годах</t>
  </si>
  <si>
    <t>Проверка</t>
  </si>
  <si>
    <t>Целевая статья</t>
  </si>
  <si>
    <t>Отчет 2014 года</t>
  </si>
  <si>
    <t>Утверждено по программе на 2017 год (за счет средств областного бюджета)</t>
  </si>
  <si>
    <t>Недостаток (-), излишек (+) ассигнований на финансовое обеспечение мероприятий программ в 2017 году согласно Законопроекту</t>
  </si>
  <si>
    <t>Объем финансирования на 2018 год за счет средств областного бюджета согласно законопроекту</t>
  </si>
  <si>
    <t>Утверждено по программе на 2018 год (за счет средств областного бюджета)</t>
  </si>
  <si>
    <t>Недостаток (-), излишек (+) ассигнований на финансовое обеспечение мероприятий программ в 2018 году согласно Законопроекту</t>
  </si>
  <si>
    <t>Объем финансирования на 2019 год за счет средств областного бюджета согласно законопроекту</t>
  </si>
  <si>
    <t>Утверждено по программе на 2019 год (за счет средств областного бюджета)</t>
  </si>
  <si>
    <t>Недостаток (-), излишек (+) ассигнований на финансовое обеспечение мероприятий программ в 2019 году согласно Законопроекту</t>
  </si>
  <si>
    <t>Утверждено программой обл+федер. бюджет 2018 год</t>
  </si>
  <si>
    <t>Утверждено программой обл+федер. бюджет 2019 год</t>
  </si>
  <si>
    <t>сумма</t>
  </si>
  <si>
    <t>3=1-2</t>
  </si>
  <si>
    <t>4=1/2*100</t>
  </si>
  <si>
    <t>7=5-6</t>
  </si>
  <si>
    <t>8=5/6*100-100</t>
  </si>
  <si>
    <t>11=9-10</t>
  </si>
  <si>
    <t>12=9/10*100-100</t>
  </si>
  <si>
    <t>Государственная программа Архангельской области "Развитие здравоохранения Архангельской области (2013 – 2020 годы)"</t>
  </si>
  <si>
    <t>01 0 00 00000</t>
  </si>
  <si>
    <t>Подпрограмма "Профилактика заболеваний и формирование здорового образа жизни. Развитие первичной медико-санитарной помощи"</t>
  </si>
  <si>
    <t>01 1 00 00000</t>
  </si>
  <si>
    <t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эвакуации"</t>
  </si>
  <si>
    <t>01 2 00 00000</t>
  </si>
  <si>
    <t>Подпрограмма "Охрана здоровья матери и ребенка"</t>
  </si>
  <si>
    <t>01 4 00 00000</t>
  </si>
  <si>
    <t>Подпрограмма "Развитие медицинской реабилитации и санаторно-курортного лечения, в том числе детей"</t>
  </si>
  <si>
    <t>01 5 00 00000</t>
  </si>
  <si>
    <t>Подпрограмма "Оказание паллиативной помощи, в том числе детям"</t>
  </si>
  <si>
    <t>01 6 00 00000</t>
  </si>
  <si>
    <t>Подпрограмма "Кадровое обеспечение системы здравоохранения"</t>
  </si>
  <si>
    <t>01 7 00 00000</t>
  </si>
  <si>
    <t>Подпрограмма "Совершенствование системы лекарственного обеспечения, в том числе в амбулаторных условиях"</t>
  </si>
  <si>
    <t>01 8 00 00000</t>
  </si>
  <si>
    <t>Подпрограмма "Совершенствование системы территориального планирования Архангельской области"</t>
  </si>
  <si>
    <t>01 Б 00 00000</t>
  </si>
  <si>
    <t>Государственная программа Архангельской области "Развитие образования и науки Архангельской области (2013 – 2020 годы)"</t>
  </si>
  <si>
    <t>02 0 00 00000</t>
  </si>
  <si>
    <t>Подпрограмма "Развитие дошкольного, общего и дополнительного образования детей"</t>
  </si>
  <si>
    <t>02 1 00 00000</t>
  </si>
  <si>
    <t>Подпрограмма "Содержание, обучение, воспитание и социальное обеспечение детей-сирот и детей, оставшихся без попечения родителей, лиц из числа детей-сирот и детей, оставшихся без попечения родителей, детей с ограниченными возможностями здоровья"</t>
  </si>
  <si>
    <t>02 2 00 00000</t>
  </si>
  <si>
    <t>Подпрограмма "Развитие среднего профессионального образования"</t>
  </si>
  <si>
    <t>02 3 00 00000</t>
  </si>
  <si>
    <t>Подпрограмма "Совершенствование системы предоставления услуг в сфере образования"</t>
  </si>
  <si>
    <t>02 4 00 00000</t>
  </si>
  <si>
    <t>Подпрограмма "Развитие научного потенциала Архангельской области"</t>
  </si>
  <si>
    <t>02 5 00 00000</t>
  </si>
  <si>
    <t>Подпрограмма "Наследие М.В. Ломоносова в социально-экономическом и социокультурном развитии Архангельской области"</t>
  </si>
  <si>
    <t>02 6 00 00000</t>
  </si>
  <si>
    <t>Подпрограмма "Строительство и капитальный ремонт объектов инфраструктуры системы образования в Архангельской области"</t>
  </si>
  <si>
    <t>02 7 00 00000</t>
  </si>
  <si>
    <t>Государственная программа Архангельской области "Социальная поддержка граждан в Архангельской области (2013 – 2020 годы)"</t>
  </si>
  <si>
    <t>03 0 00 00000</t>
  </si>
  <si>
    <t>Подпрограмма "Организация работы по социальному обслуживанию граждан и социальной защите населения в Архангельской области"</t>
  </si>
  <si>
    <t>03 1 00 00000</t>
  </si>
  <si>
    <t>Подпрограмма "Меры социальной поддержки отдельным категориям граждан, проживающим на территории Архангельской области"</t>
  </si>
  <si>
    <t>03 2 00 00000</t>
  </si>
  <si>
    <t>Подпрограмма "Развитие системы отдыха и оздоровления детей"</t>
  </si>
  <si>
    <t>03 4 00 00000</t>
  </si>
  <si>
    <t>Подпрограмма "Семья и дети в Архангельской области"</t>
  </si>
  <si>
    <t>03 5 00 00000</t>
  </si>
  <si>
    <t>Подпрограмма "Повышение качества жизни граждан пожилого возраста и инвалидов в Архангельской области"</t>
  </si>
  <si>
    <t>03 6 00 00000</t>
  </si>
  <si>
    <t>Подпрограмма "Приоритетные социально значимые мероприятия в сфере социальной политики Архангельской области"</t>
  </si>
  <si>
    <t>03 7 00 00000</t>
  </si>
  <si>
    <t>Подпрограмма "Доступная среда"</t>
  </si>
  <si>
    <t>03 8 00 00000</t>
  </si>
  <si>
    <t>Подпрограмма "Право быть равным"</t>
  </si>
  <si>
    <t>03 9 00 00000</t>
  </si>
  <si>
    <t>Государственная программа Архангельской области "Культура Русского Севера (2013 – 2020 годы)"</t>
  </si>
  <si>
    <t>04 0 00 00000</t>
  </si>
  <si>
    <t>Государственная программа развития сельского хозяйства и регулирования рынков сельскохозяйственной продукции, сырья и продовольствия Архангельской области на 2013 – 2020 годы</t>
  </si>
  <si>
    <t>05 0 00 00000</t>
  </si>
  <si>
    <t>Подпрограмма "Развитие агропромышленного комплекса Архангельской области на 2013 – 2020 годы"</t>
  </si>
  <si>
    <t>05 1 00 00000</t>
  </si>
  <si>
    <t>Подпрограмма "Развитие рыбохозяйственного комплекса Архангельской области"</t>
  </si>
  <si>
    <t>05 2 00 00000</t>
  </si>
  <si>
    <t>Подпрограмма "Создание условий для реализации государственной программы"</t>
  </si>
  <si>
    <t>05 3 00 00000</t>
  </si>
  <si>
    <t>Подпрограмма "Развитие мелиорации земель сельскохозяйственного назначения Архангельской области"</t>
  </si>
  <si>
    <t>05 4 00 00000</t>
  </si>
  <si>
    <t>Государственная программа Архангельской области "Обеспечение качественным, доступным жильем и объектами инженерной инфраструктуры населения Архангельской области (2014 – 2020 годы)"</t>
  </si>
  <si>
    <t>06 0 00 00000</t>
  </si>
  <si>
    <t>Подпрограмма "Создание условий для обеспечения доступным и комфортным жильем жителей Архангельской области"</t>
  </si>
  <si>
    <t>06 1 00 00000</t>
  </si>
  <si>
    <t>Подпрограмма "Обеспечение жильем молодых семей"</t>
  </si>
  <si>
    <t>06 2 00 00000</t>
  </si>
  <si>
    <t>Подпрограмма "Развитие промышленности строительных материалов в Архангельской области"</t>
  </si>
  <si>
    <t>06 4 00 00000</t>
  </si>
  <si>
    <t>Государственная программа Архангельской области "Содействие занятости населения Архангельской области, улучшение условий и охраны труда (2014 – 2020 годы)"</t>
  </si>
  <si>
    <t>07 0 00 00000</t>
  </si>
  <si>
    <t>Подпрограмма "Активная политика занятости и социальная поддержка безработных граждан (2014 – 2020 годы)"</t>
  </si>
  <si>
    <t>07 1 00 00000</t>
  </si>
  <si>
    <t>Подпрограмма "Улучшение условий и охраны труда в Архангельской области (2014 – 2020 годы)"</t>
  </si>
  <si>
    <t>07 2 00 00000</t>
  </si>
  <si>
    <t>Подпрограмма "Повышение мобильности трудовых ресурсов (2015 – 2017 годы)"</t>
  </si>
  <si>
    <t>Подпрограмма "Оказание содействия добровольному переселению в Архангельскую область соотечественников, проживающих за рубежом (2016 – 2020 годы)"</t>
  </si>
  <si>
    <t>07 6 00 00000</t>
  </si>
  <si>
    <t>Государственная программа Архангельской области "Обеспечение общественного порядка, профилактика преступности, коррупции, терроризма, экстремизма и незаконного потребления наркотических средств и психотропных веществ в Архангельской области (2014 – 2020 годы)"</t>
  </si>
  <si>
    <t>08 0 00 00000</t>
  </si>
  <si>
    <t>Подпрограмма "Профилактика незаконного потребления наркотических средств и психотропных веществ, реабилитация и ресоциализация потребителей наркотических средств и психотропных веществ"</t>
  </si>
  <si>
    <t>08 1 00 00000</t>
  </si>
  <si>
    <t>Подпрограмма "Профилактика преступлений и иных правонарушений в Архангельской области"</t>
  </si>
  <si>
    <t>08 2 00 00000</t>
  </si>
  <si>
    <t>Подпрограмма "Профилактика экстремизма и терроризма в Архангельской области"</t>
  </si>
  <si>
    <t>Государственная программа Архангельской области "Защита населения и территорий Архангельской области от чрезвычайных ситуаций, обеспечение пожарной безопасности и безопасности на водных объектах (2014 – 2020 годы)"</t>
  </si>
  <si>
    <t>09 0 00 00000</t>
  </si>
  <si>
    <t>Подпрограмма "Пожарная безопасность в Архангельской области"</t>
  </si>
  <si>
    <t>09 1 00 00000</t>
  </si>
  <si>
    <t>Подпрограмма "Снижение рисков и смягчение последствий чрезвычайных ситуаций межмуниципального и регионального характера, а также обеспечение безопасности людей на водных объектах в Архангельской области"</t>
  </si>
  <si>
    <t>09 2 00 00000</t>
  </si>
  <si>
    <t>Подпрограмма "Обеспечение реализации государственной программы в Архангельской области"</t>
  </si>
  <si>
    <t>09 3 00 00000</t>
  </si>
  <si>
    <t>Подпрограмма "Построение (развитие), внедрение и эксплуатация аппаратно-программного комплекса "Безопасный город" в Архангельской области"</t>
  </si>
  <si>
    <t>09 4 00 00000</t>
  </si>
  <si>
    <t>Государственная программа Архангельской области "Охрана окружающей среды, воспроизводство и использование природных ресурсов Архангельской области (2014 – 2020 годы)"</t>
  </si>
  <si>
    <t>10 0 00 00000</t>
  </si>
  <si>
    <t>Подпрограмма "Охрана окружающей среды и обеспечение экологической безопасности Архангельской области"</t>
  </si>
  <si>
    <t>10 1 00 00000</t>
  </si>
  <si>
    <t>Подпрограмма "Воспроизводство и использование природных ресурсов"</t>
  </si>
  <si>
    <t>10 2 00 00000</t>
  </si>
  <si>
    <t>Подпрограмма "Развитие водохозяйственного комплекса Архангельской области"</t>
  </si>
  <si>
    <t>10 3 00 00000</t>
  </si>
  <si>
    <t>Государственная программа Архангельской области 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(2014 – 2020 годы)"</t>
  </si>
  <si>
    <t>11 0 00 00000</t>
  </si>
  <si>
    <t>Подпрограмма "Спорт Беломорья (2014 – 2020 годы)"</t>
  </si>
  <si>
    <t>11 1 00 00000</t>
  </si>
  <si>
    <t>Подпрограмма "Молодежь Архангельской области (2014 – 2020 годы)"</t>
  </si>
  <si>
    <t>11 2 00 00000</t>
  </si>
  <si>
    <t>Подпрограмма "Гражданско-патриотическое воспитание граждан Российской Федерации и допризывная подготовка молодежи в Архангельской области (2014 – 2020 годы)"</t>
  </si>
  <si>
    <t>11 3 00 00000</t>
  </si>
  <si>
    <t>Подпрограмма "Развитие внутреннего и въездного туризма в Архангельской области (2014 – 2020 годы)"</t>
  </si>
  <si>
    <t>11 5 00 00000</t>
  </si>
  <si>
    <t>Государственная программа Архангельской области "Экономическое развитие и инвестиционная деятельность в Архангельской области (2014 – 2020 годы)"</t>
  </si>
  <si>
    <t>12 0 00 00000</t>
  </si>
  <si>
    <t>Подпрограмма "Формирование благоприятной среды для развития инвестиционной деятельности"</t>
  </si>
  <si>
    <t>12 1 00 00000</t>
  </si>
  <si>
    <t>Подпрограмма "Развитие субъектов малого и среднего предпринимательства в Архангельской области"</t>
  </si>
  <si>
    <t>12 2 00 00000</t>
  </si>
  <si>
    <t>Подпрограмма "Совершенствование системы управления экономическим развитием Архангельской области"</t>
  </si>
  <si>
    <t>12 3 00 00000</t>
  </si>
  <si>
    <t>Подпрограмма "Совершенствование организации государственных закупок в Архангельской области"</t>
  </si>
  <si>
    <t>12 4 00 00000</t>
  </si>
  <si>
    <t>Подпрограмма "Проведение сбалансированной политики в области государственного регулирования тарифов на территории Архангельской области"</t>
  </si>
  <si>
    <t>12 5 00 00000</t>
  </si>
  <si>
    <t>Подпрограмма "Развитие промышленности Архангельской области"</t>
  </si>
  <si>
    <t>12 6 00 00000</t>
  </si>
  <si>
    <t>Государственная программа Архангельской области "Развитие торговли в Архангельской области (2014 – 2020 годы)"</t>
  </si>
  <si>
    <t>14 0 00 00000</t>
  </si>
  <si>
    <t>Государственная программа Архангельской области "Развитие лесного комплекса Архангельской области (2014 – 2020 годы)"</t>
  </si>
  <si>
    <t>15 0 00 00000</t>
  </si>
  <si>
    <t>Подпрограмма "Обеспечение использования лесов"</t>
  </si>
  <si>
    <t>15 1 00 00000</t>
  </si>
  <si>
    <t>Подпрограмма "Воспроизводство лесов"</t>
  </si>
  <si>
    <t>15 2 00 00000</t>
  </si>
  <si>
    <t>Подпрограмма "Охрана и защита лесов"</t>
  </si>
  <si>
    <t>15 3 00 00000</t>
  </si>
  <si>
    <t>Подпрограмма "Обеспечение реализации государственной программы Архангельской области "Развитие лесного комплекса Архангельской области (2014 – 2020 годы)"</t>
  </si>
  <si>
    <t>15 4 00 00000</t>
  </si>
  <si>
    <t>Государственная программа Архангельской области "Развитие энергетики и жилищно-коммунального хозяйства Архангельской области (2014 – 2020 годы)"</t>
  </si>
  <si>
    <t>17 0 00 00000</t>
  </si>
  <si>
    <t>Подпрограмма "Энергосбережение и повышение энергетической эффективности в Архангельской области"</t>
  </si>
  <si>
    <t>17 1 00 00000</t>
  </si>
  <si>
    <t>Подпрограмма "Формирование и реализация региональной политики в сфере энергетики и жилищно-коммунального хозяйства Архангельской области"</t>
  </si>
  <si>
    <t>17 3 00 00000</t>
  </si>
  <si>
    <t>Государственная программа Архангельской области "Развитие местного самоуправления в Архангельской области и государственная поддержка социально ориентированных некоммерческих организаций (2014 – 2020 годы)"</t>
  </si>
  <si>
    <t>18 0 00 00000</t>
  </si>
  <si>
    <t>Подпрограмма "Государственная поддержка социально ориентированных некоммерческих организаций"</t>
  </si>
  <si>
    <t>18 1 00 00000</t>
  </si>
  <si>
    <t>Подпрограмма "Развитие территориального общественного самоуправления в Архангельской области)"</t>
  </si>
  <si>
    <t>18 2 00 00000</t>
  </si>
  <si>
    <t>Подпрограмма "Обеспечение реализации государственной программы"</t>
  </si>
  <si>
    <t>18 3 00 00000</t>
  </si>
  <si>
    <t>Подпрограмма "Укрепление единства российской нации и этнокультурное развитие народов России, проживающих на территории Архангельской области"</t>
  </si>
  <si>
    <t>18 4 00 00000</t>
  </si>
  <si>
    <t>Государственная программа Архангельской области "Развитие транспортной системы Архангельской области (2014 – 2020 годы)"</t>
  </si>
  <si>
    <t>19 0 00 00000</t>
  </si>
  <si>
    <t>Подпрограмма "Проведение сбалансированной государственной тарифной политики на транспорте"</t>
  </si>
  <si>
    <t>19 1 00 00000</t>
  </si>
  <si>
    <t>Подпрограмма "Развитие общественного пассажирского транспорта и транспортной инфраструктуры Архангельской области"</t>
  </si>
  <si>
    <t>19 2 00 00000</t>
  </si>
  <si>
    <t>Подпрограмма "Развитие и совершенствование сети автомобильных дорог общего пользования регионального значения"</t>
  </si>
  <si>
    <t>19 3 00 00000</t>
  </si>
  <si>
    <t>Подпрограмма "Улучшение эксплуатационного состояния автомобильных дорог общего пользования регионального значения за счет ремонта, капитального ремонта и содержания"</t>
  </si>
  <si>
    <t>19 4 00 00000</t>
  </si>
  <si>
    <t>Подпрограмма "Создание условий для реализации государственной программы и осуществления иных расходов"</t>
  </si>
  <si>
    <t>19 5 00 00000</t>
  </si>
  <si>
    <t>Подпрограмма "Повышение безопасности дорожного движения в Архангельской области"</t>
  </si>
  <si>
    <t>19 6 00 00000</t>
  </si>
  <si>
    <t>Государственная программа Архангельской области "Развитие инфраструктуры Соловецкого архипелага (2014 – 2019 годы)"</t>
  </si>
  <si>
    <t>20 0 00 00000</t>
  </si>
  <si>
    <t>Государственная программа Архангельской области "Развитие имущественно-земельных отношений Архангельской области (2014 – 2020 годы)"</t>
  </si>
  <si>
    <t>21 0 00 00000</t>
  </si>
  <si>
    <t>Государственная программа Архангельской области "Управление государственными финансами и государственным долгом Архангельской области (2014 – 2020 годы)"</t>
  </si>
  <si>
    <t>22 0 00 00000</t>
  </si>
  <si>
    <t>Подпрограмма "Организация и обеспечение бюджетного процесса и развитие информационных систем управления финансами в Архангельской области"</t>
  </si>
  <si>
    <t>22 1 00 00000</t>
  </si>
  <si>
    <t>Подпрограмма "Управление государственным долгом Архангельской области"</t>
  </si>
  <si>
    <t>22 2 00 00000</t>
  </si>
  <si>
    <t>Подпрограмма "Поддержание устойчивого исполнения бюджетов муниципальных образований Архангельской области"</t>
  </si>
  <si>
    <t>22 3 00 00000</t>
  </si>
  <si>
    <t>Подпрограмма "Осуществление внутреннего государственного финансового контроля и контроля в сфере закупок товаров, работ, услуг"</t>
  </si>
  <si>
    <t>22 4 00 00000</t>
  </si>
  <si>
    <t>Государственная программа Архангельской области "Эффективное государственное управление в Архангельской области (2014 – 2020 годы)"</t>
  </si>
  <si>
    <t>23 0 00 00000</t>
  </si>
  <si>
    <t>Подпрограмма "Развитие кадрового потенциала органов государственной власти, иных государственных органов Архангельской области и органов местного самоуправления муниципальных образований Архангельской области"</t>
  </si>
  <si>
    <t>23 1 00 00000</t>
  </si>
  <si>
    <t>Подпрограмма "Обеспечение доступности и качества предоставления государственных и муниципальных услуг по принципу "одного окна", в том числе на базе многофункциональных центров"</t>
  </si>
  <si>
    <t>23 2 00 00000</t>
  </si>
  <si>
    <t>Подпрограмма "Создание систем электронного правительства, развитие информационного общества Архангельской области"</t>
  </si>
  <si>
    <t>23 3 00 00000</t>
  </si>
  <si>
    <t>Подпрограмма "Поддержка и развитие печатных средств массовой информации, обеспечение информирования населения о социально-экономическом развитии Архангельской области"</t>
  </si>
  <si>
    <t>23 4 00 00000</t>
  </si>
  <si>
    <t>Подпрограмма "Развитие отдельных направлений системы государственного управления Архангельской области"</t>
  </si>
  <si>
    <t>23 5 00 00000</t>
  </si>
  <si>
    <t>Государственная программа Архангельской области "Устойчивое развитие сельских территорий Архангельской области (2014 – 2020 годы)"</t>
  </si>
  <si>
    <t>24 0 00 00000</t>
  </si>
  <si>
    <t>Федеральные средства</t>
  </si>
  <si>
    <t>Итого по программе (ф.б+о.б.)</t>
  </si>
  <si>
    <t>Объем финансирования на 2017 год за счет средств областного бюджета согласно Законопроекту</t>
  </si>
  <si>
    <t>Субсидии на финансовое обеспечение выполнения государственного задания на оказание государственных услуг (выполнение работ) за счет средств областного бюджета</t>
  </si>
  <si>
    <t>Количество бюджетных и автономных учреждений (ед.)</t>
  </si>
  <si>
    <t>Исполнено за 2013 год</t>
  </si>
  <si>
    <t>Исполнено за 2014 год</t>
  </si>
  <si>
    <t>Исполнено за 2015 год</t>
  </si>
  <si>
    <t>План на 2016 год (отчет на 01.10.16 по ф. 0503737)</t>
  </si>
  <si>
    <t>2016 год (документы к проекту на 2017 год)</t>
  </si>
  <si>
    <t>Проект на 2017 год</t>
  </si>
  <si>
    <t>на 01.01.2013</t>
  </si>
  <si>
    <t>на 01.01.2014</t>
  </si>
  <si>
    <t>на 01.01.2015</t>
  </si>
  <si>
    <t>на 01.01.2016</t>
  </si>
  <si>
    <t>на 01.10.2016</t>
  </si>
  <si>
    <t>План на 2017 год</t>
  </si>
  <si>
    <t>Министерство строительства и архитектуры АО</t>
  </si>
  <si>
    <t>Министерство топливно-энергетического комплекса и жилищно-коммунального хозяйства АО</t>
  </si>
  <si>
    <t>Министерство природных ресурсов и лесопромышленного комплекса АО</t>
  </si>
  <si>
    <t>Министерство здравоохранения АО</t>
  </si>
  <si>
    <t>Инспекция по охране объектов культурного наследия АО</t>
  </si>
  <si>
    <t>Министерство культуры АО</t>
  </si>
  <si>
    <t>Министерство связи и информационных технологий АО</t>
  </si>
  <si>
    <t>Министерство образования и науки АО</t>
  </si>
  <si>
    <t>Министерство агропромышленного комплекса и торговли АО</t>
  </si>
  <si>
    <t>Министерство транспорта АО (агентство по транспорту АО)</t>
  </si>
  <si>
    <t>Министерство экономического развития АО</t>
  </si>
  <si>
    <t>Агентство по делам архивов АО</t>
  </si>
  <si>
    <t>Министерство труда, занятости и социального развития АО</t>
  </si>
  <si>
    <t>Агентство по туризму АО</t>
  </si>
  <si>
    <t>Агентство государственной противопожарной службы и гражданской защиты АО</t>
  </si>
  <si>
    <t>Агентство по спорту АО (министерство по делам молодежи и спорту АО)</t>
  </si>
  <si>
    <t>Администрация Губернатора и Правительства АО</t>
  </si>
  <si>
    <t>Министерство по местному самоуправлению и внутренней политике АО</t>
  </si>
  <si>
    <t>Агентство по развитию Соловецкого архипелага АО</t>
  </si>
  <si>
    <t>Агентство по печати и средствам массовой информации АО</t>
  </si>
  <si>
    <t>Контрактное агентство АО</t>
  </si>
  <si>
    <t>Инспекция по ветеринарному надзору АО</t>
  </si>
  <si>
    <t>Доходы бюджетных и автономных учреждениях за счет субсидии на государственное задание (в тыс.руб.)</t>
  </si>
  <si>
    <t>млн.рублей</t>
  </si>
  <si>
    <t>Приложение № 4.1</t>
  </si>
  <si>
    <t>Приложение № 6.1</t>
  </si>
  <si>
    <t>Приложение № 6.3</t>
  </si>
  <si>
    <t>Приложение № 7.1</t>
  </si>
  <si>
    <t>в рублях</t>
  </si>
  <si>
    <t>Среднедушевые налоговые доходы местных бюджетов, в расчете на 1 жителя (НДФЛ, акцизы на нефтепродукты, налоги на совокупный доход, земельный налог, налог на имущество физ.лиц и гос.пошлина), а также дотация на выравнивание бюджетной обеспеченности, включая поселениям, дополнительный норматив по НДФЛ и субсидию на софинансирование вопросов местного значения и влияние на среднедушевые доходы</t>
  </si>
  <si>
    <t>Приложение № 6.2</t>
  </si>
  <si>
    <t>Расходы на содержание государственных органов и обеспечение их функций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</si>
</sst>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"/>
    <numFmt numFmtId="165" formatCode="0.0"/>
    <numFmt numFmtId="166" formatCode="#,##0.000"/>
    <numFmt numFmtId="167" formatCode="0.000"/>
    <numFmt numFmtId="168" formatCode="#,##0.0_ ;[Red]\-#,##0.0\ "/>
    <numFmt numFmtId="169" formatCode="00"/>
    <numFmt numFmtId="170" formatCode="0.0%"/>
    <numFmt numFmtId="171" formatCode="#,##0_ ;[Red]\-#,##0\ "/>
  </numFmts>
  <fonts count="38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rgb="FF0070C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name val="Arial"/>
      <family val="2"/>
      <charset val="204"/>
    </font>
    <font>
      <b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8"/>
      <color theme="1"/>
      <name val="Arial"/>
      <family val="2"/>
      <charset val="204"/>
    </font>
    <font>
      <sz val="12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-0.499984740745262"/>
        <bgColor indexed="64"/>
      </patternFill>
    </fill>
  </fills>
  <borders count="31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double">
        <color auto="1"/>
      </top>
      <bottom/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4" fillId="0" borderId="0"/>
  </cellStyleXfs>
  <cellXfs count="280">
    <xf numFmtId="0" fontId="0" fillId="0" borderId="0" xfId="0"/>
    <xf numFmtId="0" fontId="7" fillId="2" borderId="0" xfId="1" applyFont="1" applyFill="1"/>
    <xf numFmtId="0" fontId="7" fillId="2" borderId="0" xfId="1" applyFont="1" applyFill="1" applyAlignment="1">
      <alignment vertical="center" wrapText="1"/>
    </xf>
    <xf numFmtId="0" fontId="6" fillId="2" borderId="3" xfId="1" applyFont="1" applyFill="1" applyBorder="1" applyAlignment="1">
      <alignment horizontal="center"/>
    </xf>
    <xf numFmtId="0" fontId="6" fillId="2" borderId="3" xfId="1" applyFont="1" applyFill="1" applyBorder="1"/>
    <xf numFmtId="0" fontId="6" fillId="2" borderId="3" xfId="1" applyFont="1" applyFill="1" applyBorder="1" applyAlignment="1">
      <alignment wrapText="1"/>
    </xf>
    <xf numFmtId="4" fontId="6" fillId="2" borderId="3" xfId="1" applyNumberFormat="1" applyFont="1" applyFill="1" applyBorder="1" applyAlignment="1">
      <alignment vertical="center"/>
    </xf>
    <xf numFmtId="0" fontId="6" fillId="2" borderId="8" xfId="1" applyFont="1" applyFill="1" applyBorder="1" applyAlignment="1">
      <alignment wrapText="1"/>
    </xf>
    <xf numFmtId="0" fontId="16" fillId="2" borderId="0" xfId="1" applyFont="1" applyFill="1" applyBorder="1" applyAlignment="1">
      <alignment horizontal="center" vertical="center"/>
    </xf>
    <xf numFmtId="0" fontId="6" fillId="0" borderId="3" xfId="1" applyFont="1" applyFill="1" applyBorder="1"/>
    <xf numFmtId="164" fontId="6" fillId="0" borderId="4" xfId="1" applyNumberFormat="1" applyFont="1" applyFill="1" applyBorder="1" applyAlignment="1">
      <alignment horizontal="right" vertical="center"/>
    </xf>
    <xf numFmtId="0" fontId="7" fillId="0" borderId="0" xfId="1" applyFont="1" applyFill="1"/>
    <xf numFmtId="0" fontId="7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/>
    </xf>
    <xf numFmtId="0" fontId="16" fillId="0" borderId="0" xfId="1" applyFont="1" applyFill="1" applyBorder="1" applyAlignment="1">
      <alignment horizontal="center" vertical="center"/>
    </xf>
    <xf numFmtId="0" fontId="9" fillId="0" borderId="4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/>
    </xf>
    <xf numFmtId="0" fontId="7" fillId="0" borderId="5" xfId="1" applyFont="1" applyFill="1" applyBorder="1" applyAlignment="1">
      <alignment horizontal="center"/>
    </xf>
    <xf numFmtId="4" fontId="6" fillId="0" borderId="4" xfId="0" applyNumberFormat="1" applyFont="1" applyFill="1" applyBorder="1" applyAlignment="1" applyProtection="1">
      <alignment horizontal="right" vertical="center"/>
      <protection locked="0"/>
    </xf>
    <xf numFmtId="164" fontId="6" fillId="0" borderId="4" xfId="1" applyNumberFormat="1" applyFont="1" applyFill="1" applyBorder="1" applyAlignment="1">
      <alignment horizontal="right"/>
    </xf>
    <xf numFmtId="4" fontId="10" fillId="0" borderId="4" xfId="0" applyNumberFormat="1" applyFont="1" applyFill="1" applyBorder="1" applyAlignment="1" applyProtection="1">
      <alignment horizontal="right" vertical="center"/>
      <protection locked="0"/>
    </xf>
    <xf numFmtId="4" fontId="6" fillId="0" borderId="5" xfId="0" applyNumberFormat="1" applyFont="1" applyFill="1" applyBorder="1" applyAlignment="1" applyProtection="1">
      <alignment horizontal="right" vertical="center"/>
      <protection locked="0"/>
    </xf>
    <xf numFmtId="164" fontId="6" fillId="0" borderId="5" xfId="1" applyNumberFormat="1" applyFont="1" applyFill="1" applyBorder="1" applyAlignment="1">
      <alignment horizontal="right" vertical="center"/>
    </xf>
    <xf numFmtId="4" fontId="6" fillId="0" borderId="4" xfId="1" applyNumberFormat="1" applyFont="1" applyFill="1" applyBorder="1" applyAlignment="1">
      <alignment horizontal="right" vertical="center"/>
    </xf>
    <xf numFmtId="4" fontId="6" fillId="0" borderId="5" xfId="1" applyNumberFormat="1" applyFont="1" applyFill="1" applyBorder="1" applyAlignment="1">
      <alignment horizontal="right" vertical="center"/>
    </xf>
    <xf numFmtId="4" fontId="6" fillId="0" borderId="4" xfId="0" applyNumberFormat="1" applyFont="1" applyFill="1" applyBorder="1" applyAlignment="1" applyProtection="1">
      <alignment vertical="center"/>
      <protection locked="0"/>
    </xf>
    <xf numFmtId="4" fontId="6" fillId="0" borderId="4" xfId="1" applyNumberFormat="1" applyFont="1" applyFill="1" applyBorder="1" applyAlignment="1">
      <alignment vertical="center"/>
    </xf>
    <xf numFmtId="4" fontId="6" fillId="0" borderId="5" xfId="1" applyNumberFormat="1" applyFont="1" applyFill="1" applyBorder="1" applyAlignment="1">
      <alignment vertical="center"/>
    </xf>
    <xf numFmtId="4" fontId="6" fillId="0" borderId="5" xfId="0" applyNumberFormat="1" applyFont="1" applyFill="1" applyBorder="1" applyAlignment="1" applyProtection="1">
      <alignment vertical="center"/>
      <protection locked="0"/>
    </xf>
    <xf numFmtId="4" fontId="10" fillId="0" borderId="5" xfId="0" applyNumberFormat="1" applyFont="1" applyFill="1" applyBorder="1" applyAlignment="1" applyProtection="1">
      <alignment horizontal="right" vertical="center"/>
      <protection locked="0"/>
    </xf>
    <xf numFmtId="0" fontId="6" fillId="0" borderId="4" xfId="1" applyFont="1" applyFill="1" applyBorder="1" applyAlignment="1">
      <alignment horizontal="center" wrapText="1"/>
    </xf>
    <xf numFmtId="0" fontId="8" fillId="0" borderId="4" xfId="1" applyFont="1" applyFill="1" applyBorder="1"/>
    <xf numFmtId="0" fontId="8" fillId="0" borderId="5" xfId="1" applyFont="1" applyFill="1" applyBorder="1"/>
    <xf numFmtId="0" fontId="6" fillId="0" borderId="4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vertical="center" wrapText="1"/>
    </xf>
    <xf numFmtId="0" fontId="8" fillId="0" borderId="5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horizontal="center"/>
    </xf>
    <xf numFmtId="0" fontId="8" fillId="0" borderId="4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166" fontId="6" fillId="0" borderId="4" xfId="1" applyNumberFormat="1" applyFont="1" applyFill="1" applyBorder="1" applyAlignment="1"/>
    <xf numFmtId="167" fontId="6" fillId="0" borderId="4" xfId="1" applyNumberFormat="1" applyFont="1" applyFill="1" applyBorder="1" applyAlignment="1"/>
    <xf numFmtId="167" fontId="6" fillId="0" borderId="5" xfId="1" applyNumberFormat="1" applyFont="1" applyFill="1" applyBorder="1" applyAlignment="1"/>
    <xf numFmtId="167" fontId="6" fillId="0" borderId="7" xfId="1" applyNumberFormat="1" applyFont="1" applyFill="1" applyBorder="1" applyAlignment="1">
      <alignment horizontal="right"/>
    </xf>
    <xf numFmtId="4" fontId="7" fillId="2" borderId="0" xfId="1" applyNumberFormat="1" applyFont="1" applyFill="1"/>
    <xf numFmtId="0" fontId="7" fillId="0" borderId="0" xfId="1" applyFont="1" applyFill="1" applyAlignment="1">
      <alignment horizontal="right"/>
    </xf>
    <xf numFmtId="0" fontId="6" fillId="2" borderId="4" xfId="1" applyFont="1" applyFill="1" applyBorder="1" applyAlignment="1">
      <alignment horizontal="center" wrapText="1"/>
    </xf>
    <xf numFmtId="166" fontId="6" fillId="0" borderId="5" xfId="1" applyNumberFormat="1" applyFont="1" applyFill="1" applyBorder="1" applyAlignment="1"/>
    <xf numFmtId="2" fontId="6" fillId="0" borderId="4" xfId="0" applyNumberFormat="1" applyFont="1" applyFill="1" applyBorder="1" applyAlignment="1" applyProtection="1">
      <alignment vertical="center"/>
      <protection locked="0"/>
    </xf>
    <xf numFmtId="2" fontId="6" fillId="0" borderId="5" xfId="0" applyNumberFormat="1" applyFont="1" applyFill="1" applyBorder="1" applyAlignment="1" applyProtection="1">
      <alignment vertical="center"/>
      <protection locked="0"/>
    </xf>
    <xf numFmtId="0" fontId="9" fillId="0" borderId="5" xfId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18" fillId="0" borderId="3" xfId="0" applyFont="1" applyFill="1" applyBorder="1" applyAlignment="1">
      <alignment vertical="center" wrapText="1"/>
    </xf>
    <xf numFmtId="168" fontId="18" fillId="0" borderId="4" xfId="0" applyNumberFormat="1" applyFont="1" applyBorder="1" applyAlignment="1">
      <alignment vertical="center" wrapText="1"/>
    </xf>
    <xf numFmtId="164" fontId="18" fillId="0" borderId="4" xfId="0" applyNumberFormat="1" applyFont="1" applyBorder="1" applyAlignment="1">
      <alignment vertical="center" wrapText="1"/>
    </xf>
    <xf numFmtId="164" fontId="18" fillId="0" borderId="5" xfId="0" applyNumberFormat="1" applyFont="1" applyBorder="1" applyAlignment="1">
      <alignment vertical="center" wrapText="1"/>
    </xf>
    <xf numFmtId="164" fontId="18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168" fontId="18" fillId="0" borderId="0" xfId="0" applyNumberFormat="1" applyFont="1" applyFill="1" applyAlignment="1">
      <alignment vertical="center" wrapText="1"/>
    </xf>
    <xf numFmtId="0" fontId="19" fillId="3" borderId="8" xfId="0" applyFont="1" applyFill="1" applyBorder="1" applyAlignment="1">
      <alignment vertical="center" wrapText="1"/>
    </xf>
    <xf numFmtId="168" fontId="19" fillId="3" borderId="7" xfId="0" applyNumberFormat="1" applyFont="1" applyFill="1" applyBorder="1" applyAlignment="1">
      <alignment vertical="center" wrapText="1"/>
    </xf>
    <xf numFmtId="164" fontId="19" fillId="3" borderId="7" xfId="0" applyNumberFormat="1" applyFont="1" applyFill="1" applyBorder="1" applyAlignment="1">
      <alignment vertical="center" wrapText="1"/>
    </xf>
    <xf numFmtId="164" fontId="19" fillId="3" borderId="9" xfId="0" applyNumberFormat="1" applyFont="1" applyFill="1" applyBorder="1" applyAlignment="1">
      <alignment vertical="center" wrapText="1"/>
    </xf>
    <xf numFmtId="164" fontId="19" fillId="3" borderId="0" xfId="0" applyNumberFormat="1" applyFont="1" applyFill="1" applyAlignment="1">
      <alignment horizontal="center" vertical="center" wrapText="1"/>
    </xf>
    <xf numFmtId="168" fontId="19" fillId="3" borderId="0" xfId="0" applyNumberFormat="1" applyFont="1" applyFill="1" applyAlignment="1">
      <alignment vertical="center" wrapText="1"/>
    </xf>
    <xf numFmtId="0" fontId="18" fillId="0" borderId="0" xfId="0" applyFont="1" applyAlignment="1">
      <alignment vertical="center" wrapText="1"/>
    </xf>
    <xf numFmtId="168" fontId="18" fillId="0" borderId="0" xfId="0" applyNumberFormat="1" applyFont="1" applyAlignment="1">
      <alignment vertical="center" wrapText="1"/>
    </xf>
    <xf numFmtId="164" fontId="18" fillId="0" borderId="0" xfId="0" applyNumberFormat="1" applyFont="1" applyAlignment="1">
      <alignment vertical="center" wrapText="1"/>
    </xf>
    <xf numFmtId="164" fontId="19" fillId="0" borderId="0" xfId="0" applyNumberFormat="1" applyFont="1" applyFill="1" applyAlignment="1">
      <alignment vertical="center" wrapText="1"/>
    </xf>
    <xf numFmtId="168" fontId="19" fillId="0" borderId="0" xfId="0" applyNumberFormat="1" applyFont="1" applyFill="1" applyAlignment="1">
      <alignment vertical="center" wrapText="1"/>
    </xf>
    <xf numFmtId="164" fontId="18" fillId="0" borderId="0" xfId="0" applyNumberFormat="1" applyFont="1" applyFill="1" applyAlignment="1">
      <alignment vertical="center" wrapText="1"/>
    </xf>
    <xf numFmtId="0" fontId="17" fillId="0" borderId="0" xfId="0" applyFont="1" applyBorder="1" applyAlignment="1">
      <alignment vertical="center" wrapText="1"/>
    </xf>
    <xf numFmtId="168" fontId="18" fillId="0" borderId="0" xfId="0" applyNumberFormat="1" applyFont="1" applyAlignment="1">
      <alignment horizontal="right" vertical="center"/>
    </xf>
    <xf numFmtId="0" fontId="19" fillId="0" borderId="6" xfId="0" applyFont="1" applyBorder="1" applyAlignment="1">
      <alignment horizontal="center" vertical="center" wrapText="1"/>
    </xf>
    <xf numFmtId="164" fontId="18" fillId="0" borderId="6" xfId="0" applyNumberFormat="1" applyFont="1" applyBorder="1" applyAlignment="1">
      <alignment vertical="center" wrapText="1"/>
    </xf>
    <xf numFmtId="164" fontId="19" fillId="3" borderId="13" xfId="0" applyNumberFormat="1" applyFont="1" applyFill="1" applyBorder="1" applyAlignment="1">
      <alignment vertical="center" wrapText="1"/>
    </xf>
    <xf numFmtId="0" fontId="19" fillId="0" borderId="5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19" fillId="0" borderId="3" xfId="0" applyFont="1" applyFill="1" applyBorder="1" applyAlignment="1">
      <alignment vertical="center" wrapText="1"/>
    </xf>
    <xf numFmtId="168" fontId="19" fillId="0" borderId="4" xfId="0" applyNumberFormat="1" applyFont="1" applyBorder="1" applyAlignment="1">
      <alignment vertical="center" wrapText="1"/>
    </xf>
    <xf numFmtId="170" fontId="19" fillId="0" borderId="0" xfId="0" applyNumberFormat="1" applyFont="1" applyBorder="1" applyAlignment="1">
      <alignment vertical="center" wrapText="1"/>
    </xf>
    <xf numFmtId="168" fontId="19" fillId="0" borderId="0" xfId="0" applyNumberFormat="1" applyFont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24" fillId="0" borderId="3" xfId="0" applyFont="1" applyBorder="1" applyAlignment="1">
      <alignment vertical="center" wrapText="1"/>
    </xf>
    <xf numFmtId="0" fontId="19" fillId="4" borderId="8" xfId="0" applyFont="1" applyFill="1" applyBorder="1" applyAlignment="1">
      <alignment vertical="center" wrapText="1"/>
    </xf>
    <xf numFmtId="169" fontId="19" fillId="4" borderId="7" xfId="0" applyNumberFormat="1" applyFont="1" applyFill="1" applyBorder="1" applyAlignment="1">
      <alignment vertical="center" wrapText="1"/>
    </xf>
    <xf numFmtId="168" fontId="19" fillId="4" borderId="7" xfId="0" applyNumberFormat="1" applyFont="1" applyFill="1" applyBorder="1" applyAlignment="1">
      <alignment vertical="center" wrapText="1"/>
    </xf>
    <xf numFmtId="170" fontId="19" fillId="4" borderId="0" xfId="0" applyNumberFormat="1" applyFont="1" applyFill="1" applyBorder="1" applyAlignment="1">
      <alignment vertical="center" wrapText="1"/>
    </xf>
    <xf numFmtId="168" fontId="19" fillId="4" borderId="0" xfId="0" applyNumberFormat="1" applyFont="1" applyFill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68" fontId="5" fillId="0" borderId="0" xfId="0" applyNumberFormat="1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168" fontId="5" fillId="0" borderId="4" xfId="0" applyNumberFormat="1" applyFont="1" applyBorder="1" applyAlignment="1">
      <alignment vertical="center" wrapText="1"/>
    </xf>
    <xf numFmtId="170" fontId="5" fillId="0" borderId="0" xfId="0" applyNumberFormat="1" applyFont="1" applyBorder="1" applyAlignment="1">
      <alignment vertical="center" wrapText="1"/>
    </xf>
    <xf numFmtId="170" fontId="19" fillId="0" borderId="4" xfId="0" applyNumberFormat="1" applyFont="1" applyBorder="1" applyAlignment="1">
      <alignment vertical="center" wrapText="1"/>
    </xf>
    <xf numFmtId="170" fontId="5" fillId="0" borderId="4" xfId="0" applyNumberFormat="1" applyFont="1" applyBorder="1" applyAlignment="1">
      <alignment vertical="center" wrapText="1"/>
    </xf>
    <xf numFmtId="170" fontId="19" fillId="0" borderId="5" xfId="0" applyNumberFormat="1" applyFont="1" applyBorder="1" applyAlignment="1">
      <alignment vertical="center" wrapText="1"/>
    </xf>
    <xf numFmtId="170" fontId="5" fillId="0" borderId="5" xfId="0" applyNumberFormat="1" applyFont="1" applyBorder="1" applyAlignment="1">
      <alignment vertical="center" wrapText="1"/>
    </xf>
    <xf numFmtId="170" fontId="19" fillId="4" borderId="7" xfId="0" applyNumberFormat="1" applyFont="1" applyFill="1" applyBorder="1" applyAlignment="1">
      <alignment vertical="center" wrapText="1"/>
    </xf>
    <xf numFmtId="170" fontId="19" fillId="4" borderId="9" xfId="0" applyNumberFormat="1" applyFont="1" applyFill="1" applyBorder="1" applyAlignment="1">
      <alignment vertical="center" wrapText="1"/>
    </xf>
    <xf numFmtId="169" fontId="19" fillId="0" borderId="4" xfId="0" applyNumberFormat="1" applyFont="1" applyFill="1" applyBorder="1" applyAlignment="1">
      <alignment horizontal="center" vertical="center" wrapText="1"/>
    </xf>
    <xf numFmtId="169" fontId="5" fillId="0" borderId="4" xfId="0" applyNumberFormat="1" applyFont="1" applyFill="1" applyBorder="1" applyAlignment="1">
      <alignment horizontal="center" vertical="center" wrapText="1"/>
    </xf>
    <xf numFmtId="169" fontId="19" fillId="0" borderId="4" xfId="0" applyNumberFormat="1" applyFont="1" applyBorder="1" applyAlignment="1">
      <alignment horizontal="center" vertical="center" wrapText="1"/>
    </xf>
    <xf numFmtId="169" fontId="5" fillId="0" borderId="4" xfId="0" applyNumberFormat="1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25" fillId="0" borderId="4" xfId="0" applyFont="1" applyBorder="1" applyAlignment="1">
      <alignment horizontal="center" vertical="center" wrapText="1"/>
    </xf>
    <xf numFmtId="164" fontId="4" fillId="0" borderId="0" xfId="0" applyNumberFormat="1" applyFont="1"/>
    <xf numFmtId="169" fontId="4" fillId="0" borderId="4" xfId="0" applyNumberFormat="1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/>
    </xf>
    <xf numFmtId="164" fontId="17" fillId="0" borderId="4" xfId="0" applyNumberFormat="1" applyFont="1" applyBorder="1" applyAlignment="1">
      <alignment horizontal="center"/>
    </xf>
    <xf numFmtId="164" fontId="17" fillId="0" borderId="6" xfId="0" applyNumberFormat="1" applyFont="1" applyBorder="1" applyAlignment="1">
      <alignment horizontal="center"/>
    </xf>
    <xf numFmtId="164" fontId="4" fillId="0" borderId="14" xfId="0" applyNumberFormat="1" applyFont="1" applyFill="1" applyBorder="1" applyAlignment="1">
      <alignment horizontal="center"/>
    </xf>
    <xf numFmtId="164" fontId="26" fillId="0" borderId="4" xfId="0" applyNumberFormat="1" applyFont="1" applyFill="1" applyBorder="1" applyAlignment="1">
      <alignment horizontal="right" vertical="center"/>
    </xf>
    <xf numFmtId="164" fontId="4" fillId="2" borderId="4" xfId="0" applyNumberFormat="1" applyFont="1" applyFill="1" applyBorder="1" applyAlignment="1">
      <alignment horizontal="right" vertical="center" wrapText="1"/>
    </xf>
    <xf numFmtId="164" fontId="4" fillId="0" borderId="4" xfId="0" applyNumberFormat="1" applyFont="1" applyBorder="1" applyAlignment="1">
      <alignment horizontal="right" vertical="center" wrapText="1"/>
    </xf>
    <xf numFmtId="164" fontId="17" fillId="0" borderId="4" xfId="0" applyNumberFormat="1" applyFont="1" applyBorder="1" applyAlignment="1">
      <alignment horizontal="right"/>
    </xf>
    <xf numFmtId="164" fontId="4" fillId="0" borderId="4" xfId="0" applyNumberFormat="1" applyFont="1" applyBorder="1" applyAlignment="1">
      <alignment horizontal="right"/>
    </xf>
    <xf numFmtId="164" fontId="17" fillId="2" borderId="4" xfId="0" applyNumberFormat="1" applyFont="1" applyFill="1" applyBorder="1" applyAlignment="1">
      <alignment horizontal="right" vertical="center" wrapText="1"/>
    </xf>
    <xf numFmtId="164" fontId="17" fillId="0" borderId="4" xfId="0" applyNumberFormat="1" applyFont="1" applyBorder="1" applyAlignment="1">
      <alignment horizontal="right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27" fillId="0" borderId="0" xfId="0" applyFont="1"/>
    <xf numFmtId="0" fontId="27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0" borderId="0" xfId="2" applyFont="1" applyFill="1" applyBorder="1" applyAlignment="1">
      <alignment vertical="center" wrapText="1"/>
    </xf>
    <xf numFmtId="0" fontId="11" fillId="0" borderId="4" xfId="2" applyNumberFormat="1" applyFont="1" applyFill="1" applyBorder="1" applyAlignment="1">
      <alignment horizontal="center" vertical="top" wrapText="1"/>
    </xf>
    <xf numFmtId="0" fontId="30" fillId="0" borderId="4" xfId="0" applyFont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  <xf numFmtId="0" fontId="32" fillId="0" borderId="4" xfId="2" applyNumberFormat="1" applyFont="1" applyFill="1" applyBorder="1" applyAlignment="1">
      <alignment horizontal="center" vertical="center" wrapText="1"/>
    </xf>
    <xf numFmtId="0" fontId="27" fillId="5" borderId="17" xfId="0" applyFont="1" applyFill="1" applyBorder="1"/>
    <xf numFmtId="0" fontId="27" fillId="5" borderId="18" xfId="0" applyFont="1" applyFill="1" applyBorder="1"/>
    <xf numFmtId="0" fontId="33" fillId="6" borderId="19" xfId="0" applyFont="1" applyFill="1" applyBorder="1" applyAlignment="1">
      <alignment vertical="center" wrapText="1"/>
    </xf>
    <xf numFmtId="0" fontId="33" fillId="6" borderId="20" xfId="0" applyFont="1" applyFill="1" applyBorder="1" applyAlignment="1">
      <alignment horizontal="center" wrapText="1"/>
    </xf>
    <xf numFmtId="164" fontId="33" fillId="6" borderId="20" xfId="0" applyNumberFormat="1" applyFont="1" applyFill="1" applyBorder="1" applyAlignment="1">
      <alignment horizontal="center" wrapText="1"/>
    </xf>
    <xf numFmtId="164" fontId="33" fillId="6" borderId="20" xfId="0" applyNumberFormat="1" applyFont="1" applyFill="1" applyBorder="1" applyAlignment="1">
      <alignment horizontal="right" wrapText="1"/>
    </xf>
    <xf numFmtId="164" fontId="34" fillId="6" borderId="20" xfId="0" applyNumberFormat="1" applyFont="1" applyFill="1" applyBorder="1" applyAlignment="1">
      <alignment horizontal="right"/>
    </xf>
    <xf numFmtId="164" fontId="34" fillId="6" borderId="20" xfId="0" applyNumberFormat="1" applyFont="1" applyFill="1" applyBorder="1" applyAlignment="1">
      <alignment horizontal="right" wrapText="1"/>
    </xf>
    <xf numFmtId="164" fontId="34" fillId="6" borderId="21" xfId="0" applyNumberFormat="1" applyFont="1" applyFill="1" applyBorder="1" applyAlignment="1">
      <alignment horizontal="right" wrapText="1"/>
    </xf>
    <xf numFmtId="164" fontId="27" fillId="5" borderId="17" xfId="0" applyNumberFormat="1" applyFont="1" applyFill="1" applyBorder="1"/>
    <xf numFmtId="164" fontId="27" fillId="5" borderId="18" xfId="0" applyNumberFormat="1" applyFont="1" applyFill="1" applyBorder="1"/>
    <xf numFmtId="0" fontId="35" fillId="0" borderId="22" xfId="0" applyFont="1" applyBorder="1" applyAlignment="1">
      <alignment vertical="center" wrapText="1"/>
    </xf>
    <xf numFmtId="0" fontId="35" fillId="0" borderId="23" xfId="0" applyFont="1" applyBorder="1" applyAlignment="1">
      <alignment horizontal="center" wrapText="1"/>
    </xf>
    <xf numFmtId="164" fontId="35" fillId="0" borderId="23" xfId="0" applyNumberFormat="1" applyFont="1" applyBorder="1" applyAlignment="1">
      <alignment horizontal="center" wrapText="1"/>
    </xf>
    <xf numFmtId="164" fontId="35" fillId="0" borderId="23" xfId="0" applyNumberFormat="1" applyFont="1" applyBorder="1" applyAlignment="1">
      <alignment horizontal="right" wrapText="1"/>
    </xf>
    <xf numFmtId="164" fontId="27" fillId="0" borderId="23" xfId="0" applyNumberFormat="1" applyFont="1" applyBorder="1" applyAlignment="1">
      <alignment horizontal="right"/>
    </xf>
    <xf numFmtId="164" fontId="36" fillId="0" borderId="23" xfId="0" applyNumberFormat="1" applyFont="1" applyBorder="1" applyAlignment="1">
      <alignment horizontal="right"/>
    </xf>
    <xf numFmtId="164" fontId="36" fillId="2" borderId="23" xfId="0" applyNumberFormat="1" applyFont="1" applyFill="1" applyBorder="1" applyAlignment="1">
      <alignment horizontal="right" wrapText="1"/>
    </xf>
    <xf numFmtId="164" fontId="36" fillId="2" borderId="24" xfId="0" applyNumberFormat="1" applyFont="1" applyFill="1" applyBorder="1" applyAlignment="1">
      <alignment horizontal="right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horizontal="center" wrapText="1"/>
    </xf>
    <xf numFmtId="164" fontId="35" fillId="0" borderId="26" xfId="0" applyNumberFormat="1" applyFont="1" applyBorder="1" applyAlignment="1">
      <alignment horizontal="center" wrapText="1"/>
    </xf>
    <xf numFmtId="164" fontId="35" fillId="0" borderId="26" xfId="0" applyNumberFormat="1" applyFont="1" applyBorder="1" applyAlignment="1">
      <alignment horizontal="right" wrapText="1"/>
    </xf>
    <xf numFmtId="164" fontId="27" fillId="0" borderId="26" xfId="0" applyNumberFormat="1" applyFont="1" applyBorder="1" applyAlignment="1">
      <alignment horizontal="right"/>
    </xf>
    <xf numFmtId="164" fontId="36" fillId="0" borderId="26" xfId="0" applyNumberFormat="1" applyFont="1" applyBorder="1" applyAlignment="1">
      <alignment horizontal="right"/>
    </xf>
    <xf numFmtId="164" fontId="36" fillId="2" borderId="26" xfId="0" applyNumberFormat="1" applyFont="1" applyFill="1" applyBorder="1" applyAlignment="1">
      <alignment horizontal="right" wrapText="1"/>
    </xf>
    <xf numFmtId="164" fontId="36" fillId="2" borderId="27" xfId="0" applyNumberFormat="1" applyFont="1" applyFill="1" applyBorder="1" applyAlignment="1">
      <alignment horizontal="right" wrapText="1"/>
    </xf>
    <xf numFmtId="0" fontId="33" fillId="6" borderId="28" xfId="0" applyFont="1" applyFill="1" applyBorder="1" applyAlignment="1">
      <alignment vertical="center" wrapText="1"/>
    </xf>
    <xf numFmtId="0" fontId="33" fillId="6" borderId="29" xfId="0" applyFont="1" applyFill="1" applyBorder="1" applyAlignment="1">
      <alignment horizontal="center" wrapText="1"/>
    </xf>
    <xf numFmtId="164" fontId="33" fillId="6" borderId="29" xfId="0" applyNumberFormat="1" applyFont="1" applyFill="1" applyBorder="1" applyAlignment="1">
      <alignment horizontal="center" wrapText="1"/>
    </xf>
    <xf numFmtId="164" fontId="33" fillId="6" borderId="29" xfId="0" applyNumberFormat="1" applyFont="1" applyFill="1" applyBorder="1" applyAlignment="1">
      <alignment horizontal="right" wrapText="1"/>
    </xf>
    <xf numFmtId="164" fontId="34" fillId="6" borderId="29" xfId="0" applyNumberFormat="1" applyFont="1" applyFill="1" applyBorder="1" applyAlignment="1">
      <alignment horizontal="right"/>
    </xf>
    <xf numFmtId="164" fontId="34" fillId="6" borderId="29" xfId="0" applyNumberFormat="1" applyFont="1" applyFill="1" applyBorder="1" applyAlignment="1">
      <alignment horizontal="right" wrapText="1"/>
    </xf>
    <xf numFmtId="164" fontId="34" fillId="6" borderId="30" xfId="0" applyNumberFormat="1" applyFont="1" applyFill="1" applyBorder="1" applyAlignment="1">
      <alignment horizontal="right" wrapText="1"/>
    </xf>
    <xf numFmtId="0" fontId="35" fillId="2" borderId="25" xfId="0" applyFont="1" applyFill="1" applyBorder="1" applyAlignment="1">
      <alignment vertical="center" wrapText="1"/>
    </xf>
    <xf numFmtId="0" fontId="35" fillId="2" borderId="22" xfId="0" applyFont="1" applyFill="1" applyBorder="1" applyAlignment="1">
      <alignment vertical="center" wrapText="1"/>
    </xf>
    <xf numFmtId="0" fontId="27" fillId="7" borderId="17" xfId="0" applyFont="1" applyFill="1" applyBorder="1"/>
    <xf numFmtId="0" fontId="27" fillId="7" borderId="18" xfId="0" applyFont="1" applyFill="1" applyBorder="1"/>
    <xf numFmtId="0" fontId="27" fillId="2" borderId="0" xfId="0" applyFont="1" applyFill="1"/>
    <xf numFmtId="164" fontId="35" fillId="2" borderId="23" xfId="0" applyNumberFormat="1" applyFont="1" applyFill="1" applyBorder="1" applyAlignment="1">
      <alignment horizontal="center" wrapText="1"/>
    </xf>
    <xf numFmtId="164" fontId="27" fillId="8" borderId="17" xfId="0" applyNumberFormat="1" applyFont="1" applyFill="1" applyBorder="1"/>
    <xf numFmtId="0" fontId="33" fillId="2" borderId="4" xfId="0" applyFont="1" applyFill="1" applyBorder="1" applyAlignment="1">
      <alignment vertical="center" wrapText="1"/>
    </xf>
    <xf numFmtId="0" fontId="37" fillId="2" borderId="4" xfId="0" applyFont="1" applyFill="1" applyBorder="1" applyAlignment="1">
      <alignment horizontal="center"/>
    </xf>
    <xf numFmtId="164" fontId="37" fillId="2" borderId="4" xfId="0" applyNumberFormat="1" applyFont="1" applyFill="1" applyBorder="1" applyAlignment="1">
      <alignment horizontal="center"/>
    </xf>
    <xf numFmtId="164" fontId="37" fillId="2" borderId="4" xfId="0" applyNumberFormat="1" applyFont="1" applyFill="1" applyBorder="1" applyAlignment="1">
      <alignment horizontal="right"/>
    </xf>
    <xf numFmtId="164" fontId="34" fillId="2" borderId="4" xfId="0" applyNumberFormat="1" applyFont="1" applyFill="1" applyBorder="1" applyAlignment="1">
      <alignment horizontal="right"/>
    </xf>
    <xf numFmtId="164" fontId="36" fillId="6" borderId="4" xfId="0" applyNumberFormat="1" applyFont="1" applyFill="1" applyBorder="1" applyAlignment="1">
      <alignment horizontal="right"/>
    </xf>
    <xf numFmtId="164" fontId="36" fillId="2" borderId="4" xfId="0" applyNumberFormat="1" applyFont="1" applyFill="1" applyBorder="1" applyAlignment="1">
      <alignment horizontal="right"/>
    </xf>
    <xf numFmtId="164" fontId="34" fillId="2" borderId="4" xfId="0" applyNumberFormat="1" applyFont="1" applyFill="1" applyBorder="1" applyAlignment="1">
      <alignment horizontal="right" wrapText="1"/>
    </xf>
    <xf numFmtId="165" fontId="27" fillId="0" borderId="0" xfId="0" applyNumberFormat="1" applyFont="1" applyAlignment="1">
      <alignment horizontal="center"/>
    </xf>
    <xf numFmtId="164" fontId="27" fillId="0" borderId="0" xfId="0" applyNumberFormat="1" applyFont="1" applyAlignment="1">
      <alignment horizontal="center"/>
    </xf>
    <xf numFmtId="164" fontId="27" fillId="0" borderId="0" xfId="0" applyNumberFormat="1" applyFont="1"/>
    <xf numFmtId="0" fontId="27" fillId="9" borderId="0" xfId="0" applyFont="1" applyFill="1"/>
    <xf numFmtId="0" fontId="27" fillId="7" borderId="0" xfId="0" applyFont="1" applyFill="1"/>
    <xf numFmtId="0" fontId="6" fillId="2" borderId="3" xfId="1" applyFont="1" applyFill="1" applyBorder="1" applyAlignment="1">
      <alignment horizontal="center" wrapText="1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14" fontId="19" fillId="0" borderId="4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8" fillId="0" borderId="3" xfId="0" applyFont="1" applyBorder="1" applyAlignment="1">
      <alignment vertical="center" wrapText="1"/>
    </xf>
    <xf numFmtId="171" fontId="18" fillId="0" borderId="5" xfId="0" applyNumberFormat="1" applyFont="1" applyBorder="1" applyAlignment="1">
      <alignment vertical="center" wrapText="1"/>
    </xf>
    <xf numFmtId="171" fontId="19" fillId="3" borderId="7" xfId="0" applyNumberFormat="1" applyFont="1" applyFill="1" applyBorder="1" applyAlignment="1">
      <alignment vertical="center" wrapText="1"/>
    </xf>
    <xf numFmtId="171" fontId="19" fillId="3" borderId="9" xfId="0" applyNumberFormat="1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168" fontId="3" fillId="0" borderId="0" xfId="0" applyNumberFormat="1" applyFont="1" applyAlignment="1">
      <alignment vertical="center" wrapText="1"/>
    </xf>
    <xf numFmtId="0" fontId="3" fillId="0" borderId="3" xfId="0" applyFont="1" applyBorder="1" applyAlignment="1">
      <alignment vertical="center" wrapText="1"/>
    </xf>
    <xf numFmtId="168" fontId="3" fillId="0" borderId="4" xfId="0" applyNumberFormat="1" applyFont="1" applyBorder="1" applyAlignment="1">
      <alignment vertical="center" wrapText="1"/>
    </xf>
    <xf numFmtId="171" fontId="3" fillId="0" borderId="4" xfId="0" applyNumberFormat="1" applyFont="1" applyBorder="1" applyAlignment="1">
      <alignment vertical="center" wrapText="1"/>
    </xf>
    <xf numFmtId="171" fontId="3" fillId="0" borderId="5" xfId="0" applyNumberFormat="1" applyFont="1" applyBorder="1" applyAlignment="1">
      <alignment vertical="center" wrapText="1"/>
    </xf>
    <xf numFmtId="171" fontId="3" fillId="0" borderId="0" xfId="0" applyNumberFormat="1" applyFont="1" applyAlignment="1">
      <alignment vertical="center" wrapText="1"/>
    </xf>
    <xf numFmtId="0" fontId="17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4" fillId="0" borderId="3" xfId="1" applyFont="1" applyFill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right" vertical="center" wrapText="1"/>
    </xf>
    <xf numFmtId="0" fontId="23" fillId="0" borderId="3" xfId="1" applyFont="1" applyFill="1" applyBorder="1" applyAlignment="1">
      <alignment horizontal="center" vertical="center" wrapText="1"/>
    </xf>
    <xf numFmtId="164" fontId="17" fillId="0" borderId="5" xfId="0" applyNumberFormat="1" applyFont="1" applyBorder="1" applyAlignment="1">
      <alignment horizontal="right" vertical="center" wrapText="1"/>
    </xf>
    <xf numFmtId="164" fontId="4" fillId="0" borderId="5" xfId="0" applyNumberFormat="1" applyFont="1" applyBorder="1" applyAlignment="1">
      <alignment horizontal="right"/>
    </xf>
    <xf numFmtId="49" fontId="24" fillId="0" borderId="3" xfId="1" applyNumberFormat="1" applyFont="1" applyFill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left" wrapText="1"/>
    </xf>
    <xf numFmtId="0" fontId="24" fillId="0" borderId="8" xfId="1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/>
    </xf>
    <xf numFmtId="164" fontId="4" fillId="0" borderId="7" xfId="0" applyNumberFormat="1" applyFont="1" applyBorder="1" applyAlignment="1">
      <alignment horizontal="right"/>
    </xf>
    <xf numFmtId="164" fontId="4" fillId="0" borderId="9" xfId="0" applyNumberFormat="1" applyFont="1" applyBorder="1" applyAlignment="1">
      <alignment horizontal="right"/>
    </xf>
    <xf numFmtId="0" fontId="2" fillId="0" borderId="0" xfId="0" applyFont="1" applyAlignment="1">
      <alignment horizontal="right"/>
    </xf>
    <xf numFmtId="0" fontId="6" fillId="0" borderId="0" xfId="1" applyFont="1" applyFill="1" applyAlignment="1">
      <alignment horizontal="right"/>
    </xf>
    <xf numFmtId="0" fontId="7" fillId="0" borderId="0" xfId="1" applyFont="1" applyFill="1" applyAlignment="1">
      <alignment horizontal="right"/>
    </xf>
    <xf numFmtId="0" fontId="16" fillId="2" borderId="0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/>
    </xf>
    <xf numFmtId="0" fontId="9" fillId="2" borderId="4" xfId="1" applyFont="1" applyFill="1" applyBorder="1" applyAlignment="1">
      <alignment horizontal="center"/>
    </xf>
    <xf numFmtId="0" fontId="9" fillId="2" borderId="5" xfId="1" applyFont="1" applyFill="1" applyBorder="1" applyAlignment="1">
      <alignment horizontal="center"/>
    </xf>
    <xf numFmtId="0" fontId="9" fillId="0" borderId="3" xfId="1" applyFont="1" applyFill="1" applyBorder="1" applyAlignment="1">
      <alignment horizontal="center"/>
    </xf>
    <xf numFmtId="0" fontId="9" fillId="0" borderId="4" xfId="1" applyFont="1" applyFill="1" applyBorder="1" applyAlignment="1">
      <alignment horizontal="center"/>
    </xf>
    <xf numFmtId="0" fontId="9" fillId="0" borderId="5" xfId="1" applyFont="1" applyFill="1" applyBorder="1" applyAlignment="1">
      <alignment horizontal="center"/>
    </xf>
    <xf numFmtId="4" fontId="9" fillId="2" borderId="3" xfId="1" applyNumberFormat="1" applyFont="1" applyFill="1" applyBorder="1" applyAlignment="1">
      <alignment horizontal="center" vertical="center" wrapText="1"/>
    </xf>
    <xf numFmtId="4" fontId="9" fillId="2" borderId="4" xfId="1" applyNumberFormat="1" applyFont="1" applyFill="1" applyBorder="1" applyAlignment="1">
      <alignment horizontal="center" vertical="center" wrapText="1"/>
    </xf>
    <xf numFmtId="4" fontId="9" fillId="2" borderId="5" xfId="1" applyNumberFormat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wrapText="1"/>
    </xf>
    <xf numFmtId="0" fontId="9" fillId="2" borderId="4" xfId="1" applyFont="1" applyFill="1" applyBorder="1" applyAlignment="1">
      <alignment horizontal="center" wrapText="1"/>
    </xf>
    <xf numFmtId="0" fontId="9" fillId="2" borderId="5" xfId="1" applyFont="1" applyFill="1" applyBorder="1" applyAlignment="1">
      <alignment horizont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8" fontId="19" fillId="0" borderId="0" xfId="0" applyNumberFormat="1" applyFont="1" applyBorder="1" applyAlignment="1">
      <alignment horizontal="right" vertical="center" wrapText="1"/>
    </xf>
    <xf numFmtId="0" fontId="19" fillId="0" borderId="0" xfId="0" applyFont="1" applyBorder="1" applyAlignment="1">
      <alignment horizontal="right" vertical="center" wrapText="1"/>
    </xf>
    <xf numFmtId="0" fontId="19" fillId="0" borderId="4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1" fillId="0" borderId="2" xfId="2" applyNumberFormat="1" applyFont="1" applyFill="1" applyBorder="1" applyAlignment="1">
      <alignment horizontal="center" vertical="top" wrapText="1"/>
    </xf>
    <xf numFmtId="0" fontId="11" fillId="0" borderId="4" xfId="2" applyNumberFormat="1" applyFont="1" applyFill="1" applyBorder="1" applyAlignment="1">
      <alignment horizontal="center" vertical="top" wrapText="1"/>
    </xf>
    <xf numFmtId="0" fontId="11" fillId="0" borderId="16" xfId="2" applyNumberFormat="1" applyFont="1" applyFill="1" applyBorder="1" applyAlignment="1">
      <alignment horizontal="center" vertical="center" wrapText="1"/>
    </xf>
    <xf numFmtId="0" fontId="11" fillId="0" borderId="15" xfId="2" applyNumberFormat="1" applyFont="1" applyFill="1" applyBorder="1" applyAlignment="1">
      <alignment horizontal="center" vertical="center" wrapText="1"/>
    </xf>
    <xf numFmtId="0" fontId="28" fillId="0" borderId="0" xfId="2" applyFont="1" applyFill="1" applyBorder="1" applyAlignment="1">
      <alignment horizontal="center" vertical="center" wrapText="1"/>
    </xf>
    <xf numFmtId="0" fontId="27" fillId="0" borderId="11" xfId="0" applyFont="1" applyBorder="1" applyAlignment="1">
      <alignment horizontal="right"/>
    </xf>
    <xf numFmtId="0" fontId="27" fillId="0" borderId="0" xfId="0" applyFont="1" applyAlignment="1">
      <alignment horizontal="center"/>
    </xf>
    <xf numFmtId="0" fontId="29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27" fillId="5" borderId="17" xfId="0" applyFont="1" applyFill="1" applyBorder="1" applyAlignment="1">
      <alignment horizontal="center" wrapText="1"/>
    </xf>
    <xf numFmtId="0" fontId="27" fillId="5" borderId="18" xfId="0" applyFont="1" applyFill="1" applyBorder="1" applyAlignment="1">
      <alignment horizontal="center" wrapText="1"/>
    </xf>
    <xf numFmtId="168" fontId="18" fillId="0" borderId="0" xfId="0" applyNumberFormat="1" applyFont="1" applyAlignment="1">
      <alignment horizontal="right" vertical="center" wrapText="1"/>
    </xf>
    <xf numFmtId="168" fontId="3" fillId="0" borderId="0" xfId="0" applyNumberFormat="1" applyFont="1" applyAlignment="1">
      <alignment horizontal="right" vertical="center" wrapText="1"/>
    </xf>
    <xf numFmtId="0" fontId="17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mruColors>
      <color rgb="FF99FFCC"/>
      <color rgb="FFFFCCFF"/>
      <color rgb="FFFFFFCC"/>
      <color rgb="FF66FF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"/>
  <sheetViews>
    <sheetView zoomScaleNormal="100" zoomScaleSheetLayoutView="100" workbookViewId="0">
      <pane xSplit="1" ySplit="5" topLeftCell="B6" activePane="bottomRight" state="frozen"/>
      <selection pane="topRight" activeCell="G1" sqref="G1"/>
      <selection pane="bottomLeft" activeCell="A6" sqref="A6"/>
      <selection pane="bottomRight" activeCell="A2" sqref="A2:K2"/>
    </sheetView>
  </sheetViews>
  <sheetFormatPr defaultColWidth="9.109375" defaultRowHeight="13.2" x14ac:dyDescent="0.25"/>
  <cols>
    <col min="1" max="1" width="23.6640625" style="1" customWidth="1"/>
    <col min="2" max="2" width="12" style="12" customWidth="1"/>
    <col min="3" max="3" width="11.77734375" style="12" customWidth="1"/>
    <col min="4" max="4" width="10.88671875" style="13" hidden="1" customWidth="1"/>
    <col min="5" max="5" width="11.6640625" style="13" customWidth="1"/>
    <col min="6" max="6" width="12.33203125" style="13" hidden="1" customWidth="1"/>
    <col min="7" max="7" width="13.109375" style="13" hidden="1" customWidth="1"/>
    <col min="8" max="8" width="13.109375" style="13" customWidth="1"/>
    <col min="9" max="9" width="13.109375" style="13" bestFit="1" customWidth="1"/>
    <col min="10" max="11" width="13.33203125" style="13" customWidth="1"/>
    <col min="12" max="16384" width="9.109375" style="1"/>
  </cols>
  <sheetData>
    <row r="1" spans="1:12" x14ac:dyDescent="0.25">
      <c r="B1" s="45"/>
      <c r="C1" s="45"/>
      <c r="I1" s="226" t="s">
        <v>36</v>
      </c>
      <c r="J1" s="227"/>
      <c r="K1" s="227"/>
    </row>
    <row r="2" spans="1:12" ht="44.25" customHeight="1" x14ac:dyDescent="0.25">
      <c r="A2" s="228" t="s">
        <v>35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</row>
    <row r="3" spans="1:12" ht="15" customHeight="1" thickBot="1" x14ac:dyDescent="0.3">
      <c r="A3" s="8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2" s="2" customFormat="1" ht="112.2" customHeight="1" thickTop="1" x14ac:dyDescent="0.3">
      <c r="A4" s="229" t="s">
        <v>0</v>
      </c>
      <c r="B4" s="231" t="s">
        <v>28</v>
      </c>
      <c r="C4" s="231"/>
      <c r="D4" s="231" t="s">
        <v>33</v>
      </c>
      <c r="E4" s="231"/>
      <c r="F4" s="231"/>
      <c r="G4" s="231"/>
      <c r="H4" s="231"/>
      <c r="I4" s="231"/>
      <c r="J4" s="231"/>
      <c r="K4" s="232"/>
    </row>
    <row r="5" spans="1:12" s="2" customFormat="1" ht="31.5" customHeight="1" x14ac:dyDescent="0.3">
      <c r="A5" s="230"/>
      <c r="B5" s="15" t="s">
        <v>32</v>
      </c>
      <c r="C5" s="15" t="s">
        <v>20</v>
      </c>
      <c r="D5" s="15" t="s">
        <v>18</v>
      </c>
      <c r="E5" s="15" t="s">
        <v>29</v>
      </c>
      <c r="F5" s="15" t="s">
        <v>19</v>
      </c>
      <c r="G5" s="15" t="s">
        <v>20</v>
      </c>
      <c r="H5" s="15" t="s">
        <v>31</v>
      </c>
      <c r="I5" s="15" t="s">
        <v>21</v>
      </c>
      <c r="J5" s="15" t="s">
        <v>22</v>
      </c>
      <c r="K5" s="50" t="s">
        <v>30</v>
      </c>
    </row>
    <row r="6" spans="1:12" x14ac:dyDescent="0.25">
      <c r="A6" s="3" t="s">
        <v>23</v>
      </c>
      <c r="B6" s="16">
        <v>1</v>
      </c>
      <c r="C6" s="16">
        <v>2</v>
      </c>
      <c r="D6" s="16">
        <v>3</v>
      </c>
      <c r="E6" s="16">
        <v>3</v>
      </c>
      <c r="F6" s="16">
        <v>4</v>
      </c>
      <c r="G6" s="16">
        <v>5</v>
      </c>
      <c r="H6" s="16">
        <v>4</v>
      </c>
      <c r="I6" s="16">
        <v>5</v>
      </c>
      <c r="J6" s="16">
        <v>6</v>
      </c>
      <c r="K6" s="17">
        <v>7</v>
      </c>
    </row>
    <row r="7" spans="1:12" x14ac:dyDescent="0.25">
      <c r="A7" s="233" t="s">
        <v>24</v>
      </c>
      <c r="B7" s="234"/>
      <c r="C7" s="234"/>
      <c r="D7" s="234"/>
      <c r="E7" s="234"/>
      <c r="F7" s="234"/>
      <c r="G7" s="234"/>
      <c r="H7" s="234"/>
      <c r="I7" s="234"/>
      <c r="J7" s="234"/>
      <c r="K7" s="235"/>
    </row>
    <row r="8" spans="1:12" x14ac:dyDescent="0.25">
      <c r="A8" s="4" t="s">
        <v>2</v>
      </c>
      <c r="B8" s="18">
        <v>401.07400000000001</v>
      </c>
      <c r="C8" s="18">
        <v>431.84500000000003</v>
      </c>
      <c r="D8" s="20">
        <v>342.35899999999998</v>
      </c>
      <c r="E8" s="20">
        <v>408.4</v>
      </c>
      <c r="F8" s="18">
        <v>401.07400000000001</v>
      </c>
      <c r="G8" s="18">
        <v>431.84500000000003</v>
      </c>
      <c r="H8" s="18">
        <v>442.76</v>
      </c>
      <c r="I8" s="18">
        <v>480.32</v>
      </c>
      <c r="J8" s="18">
        <v>511.25</v>
      </c>
      <c r="K8" s="21">
        <v>543</v>
      </c>
    </row>
    <row r="9" spans="1:12" x14ac:dyDescent="0.25">
      <c r="A9" s="4" t="s">
        <v>3</v>
      </c>
      <c r="B9" s="19">
        <v>73515</v>
      </c>
      <c r="C9" s="10">
        <v>78673</v>
      </c>
      <c r="D9" s="19">
        <v>71406</v>
      </c>
      <c r="E9" s="19">
        <v>80804</v>
      </c>
      <c r="F9" s="19">
        <v>73515</v>
      </c>
      <c r="G9" s="10">
        <v>78673</v>
      </c>
      <c r="H9" s="10">
        <v>84346</v>
      </c>
      <c r="I9" s="10">
        <v>89487</v>
      </c>
      <c r="J9" s="10">
        <v>95366</v>
      </c>
      <c r="K9" s="22">
        <v>101423</v>
      </c>
    </row>
    <row r="10" spans="1:12" ht="12.75" customHeight="1" x14ac:dyDescent="0.25">
      <c r="A10" s="242" t="s">
        <v>25</v>
      </c>
      <c r="B10" s="243"/>
      <c r="C10" s="243"/>
      <c r="D10" s="243"/>
      <c r="E10" s="243"/>
      <c r="F10" s="243"/>
      <c r="G10" s="243"/>
      <c r="H10" s="243"/>
      <c r="I10" s="243"/>
      <c r="J10" s="243"/>
      <c r="K10" s="244"/>
    </row>
    <row r="11" spans="1:12" x14ac:dyDescent="0.25">
      <c r="A11" s="4" t="s">
        <v>2</v>
      </c>
      <c r="B11" s="18">
        <v>98.63</v>
      </c>
      <c r="C11" s="18">
        <v>101.14</v>
      </c>
      <c r="D11" s="20">
        <v>94.04</v>
      </c>
      <c r="E11" s="20">
        <v>101.33</v>
      </c>
      <c r="F11" s="18">
        <v>98.63</v>
      </c>
      <c r="G11" s="18">
        <v>101.14</v>
      </c>
      <c r="H11" s="18">
        <v>101.74</v>
      </c>
      <c r="I11" s="18">
        <v>103.46</v>
      </c>
      <c r="J11" s="18">
        <v>102.33</v>
      </c>
      <c r="K11" s="21">
        <v>101.97</v>
      </c>
    </row>
    <row r="12" spans="1:12" x14ac:dyDescent="0.25">
      <c r="A12" s="4" t="s">
        <v>3</v>
      </c>
      <c r="B12" s="23">
        <v>96.1</v>
      </c>
      <c r="C12" s="23">
        <v>100.7</v>
      </c>
      <c r="D12" s="23">
        <v>100.6</v>
      </c>
      <c r="E12" s="23">
        <v>96.3</v>
      </c>
      <c r="F12" s="23">
        <v>96.1</v>
      </c>
      <c r="G12" s="23">
        <v>100.7</v>
      </c>
      <c r="H12" s="23">
        <v>99.8</v>
      </c>
      <c r="I12" s="23">
        <v>100.8</v>
      </c>
      <c r="J12" s="23">
        <v>101.8</v>
      </c>
      <c r="K12" s="24">
        <v>102.2</v>
      </c>
      <c r="L12" s="44"/>
    </row>
    <row r="13" spans="1:12" x14ac:dyDescent="0.25">
      <c r="A13" s="233" t="s">
        <v>4</v>
      </c>
      <c r="B13" s="234"/>
      <c r="C13" s="234"/>
      <c r="D13" s="234"/>
      <c r="E13" s="234"/>
      <c r="F13" s="234"/>
      <c r="G13" s="234"/>
      <c r="H13" s="234"/>
      <c r="I13" s="234"/>
      <c r="J13" s="234"/>
      <c r="K13" s="235"/>
    </row>
    <row r="14" spans="1:12" x14ac:dyDescent="0.25">
      <c r="A14" s="4" t="s">
        <v>2</v>
      </c>
      <c r="B14" s="25">
        <v>110.88</v>
      </c>
      <c r="C14" s="25">
        <v>106.92</v>
      </c>
      <c r="D14" s="25">
        <v>113</v>
      </c>
      <c r="E14" s="25">
        <v>113</v>
      </c>
      <c r="F14" s="25">
        <v>110.88</v>
      </c>
      <c r="G14" s="25">
        <v>106.92</v>
      </c>
      <c r="H14" s="25">
        <v>106.39</v>
      </c>
      <c r="I14" s="48">
        <v>104.85</v>
      </c>
      <c r="J14" s="48">
        <v>104.52</v>
      </c>
      <c r="K14" s="49">
        <v>104.12</v>
      </c>
    </row>
    <row r="15" spans="1:12" x14ac:dyDescent="0.25">
      <c r="A15" s="4" t="s">
        <v>3</v>
      </c>
      <c r="B15" s="26">
        <v>112.2</v>
      </c>
      <c r="C15" s="26">
        <v>106.4</v>
      </c>
      <c r="D15" s="26">
        <v>111.4</v>
      </c>
      <c r="E15" s="26">
        <v>112.9</v>
      </c>
      <c r="F15" s="26">
        <v>112.2</v>
      </c>
      <c r="G15" s="26">
        <v>106.4</v>
      </c>
      <c r="H15" s="26">
        <v>106.5</v>
      </c>
      <c r="I15" s="26">
        <v>104.9</v>
      </c>
      <c r="J15" s="26">
        <v>104.5</v>
      </c>
      <c r="K15" s="27">
        <v>104</v>
      </c>
    </row>
    <row r="16" spans="1:12" x14ac:dyDescent="0.25">
      <c r="A16" s="233" t="s">
        <v>5</v>
      </c>
      <c r="B16" s="234"/>
      <c r="C16" s="234"/>
      <c r="D16" s="234"/>
      <c r="E16" s="234"/>
      <c r="F16" s="234"/>
      <c r="G16" s="234"/>
      <c r="H16" s="234"/>
      <c r="I16" s="234"/>
      <c r="J16" s="234"/>
      <c r="K16" s="235"/>
    </row>
    <row r="17" spans="1:11" x14ac:dyDescent="0.25">
      <c r="A17" s="4" t="s">
        <v>2</v>
      </c>
      <c r="B17" s="25">
        <v>67.39</v>
      </c>
      <c r="C17" s="25">
        <v>87.39</v>
      </c>
      <c r="D17" s="25">
        <v>64.36</v>
      </c>
      <c r="E17" s="25">
        <v>56.68</v>
      </c>
      <c r="F17" s="25">
        <v>67.39</v>
      </c>
      <c r="G17" s="25">
        <v>87.39</v>
      </c>
      <c r="H17" s="25">
        <v>100.52</v>
      </c>
      <c r="I17" s="25">
        <v>104.88</v>
      </c>
      <c r="J17" s="25">
        <v>104.01</v>
      </c>
      <c r="K17" s="28">
        <v>102.68</v>
      </c>
    </row>
    <row r="18" spans="1:11" x14ac:dyDescent="0.25">
      <c r="A18" s="4" t="s">
        <v>3</v>
      </c>
      <c r="B18" s="26">
        <v>90.1</v>
      </c>
      <c r="C18" s="26">
        <v>98.4</v>
      </c>
      <c r="D18" s="26">
        <v>97.3</v>
      </c>
      <c r="E18" s="26">
        <v>91.6</v>
      </c>
      <c r="F18" s="26">
        <v>90.1</v>
      </c>
      <c r="G18" s="26">
        <v>98.4</v>
      </c>
      <c r="H18" s="26">
        <v>96.9</v>
      </c>
      <c r="I18" s="26">
        <v>100.8</v>
      </c>
      <c r="J18" s="26">
        <v>103</v>
      </c>
      <c r="K18" s="27">
        <v>104.2</v>
      </c>
    </row>
    <row r="19" spans="1:11" x14ac:dyDescent="0.25">
      <c r="A19" s="233" t="s">
        <v>6</v>
      </c>
      <c r="B19" s="234"/>
      <c r="C19" s="234"/>
      <c r="D19" s="234"/>
      <c r="E19" s="234"/>
      <c r="F19" s="234"/>
      <c r="G19" s="234"/>
      <c r="H19" s="234"/>
      <c r="I19" s="234"/>
      <c r="J19" s="234"/>
      <c r="K19" s="235"/>
    </row>
    <row r="20" spans="1:11" x14ac:dyDescent="0.25">
      <c r="A20" s="4" t="s">
        <v>2</v>
      </c>
      <c r="B20" s="18">
        <v>92.14</v>
      </c>
      <c r="C20" s="18">
        <v>101.53</v>
      </c>
      <c r="D20" s="18">
        <v>103.9</v>
      </c>
      <c r="E20" s="18">
        <v>93.1</v>
      </c>
      <c r="F20" s="18">
        <v>92.14</v>
      </c>
      <c r="G20" s="18">
        <v>101.53</v>
      </c>
      <c r="H20" s="18">
        <v>97.85</v>
      </c>
      <c r="I20" s="18">
        <v>100.75</v>
      </c>
      <c r="J20" s="18">
        <v>102.35</v>
      </c>
      <c r="K20" s="21">
        <v>102.8</v>
      </c>
    </row>
    <row r="21" spans="1:11" x14ac:dyDescent="0.25">
      <c r="A21" s="4" t="s">
        <v>3</v>
      </c>
      <c r="B21" s="23">
        <v>91.5</v>
      </c>
      <c r="C21" s="23">
        <v>100.4</v>
      </c>
      <c r="D21" s="23">
        <v>102.7</v>
      </c>
      <c r="E21" s="23">
        <v>90</v>
      </c>
      <c r="F21" s="23">
        <v>91.5</v>
      </c>
      <c r="G21" s="23">
        <v>100.4</v>
      </c>
      <c r="H21" s="23">
        <v>97.34</v>
      </c>
      <c r="I21" s="23">
        <v>101.1</v>
      </c>
      <c r="J21" s="23">
        <v>102.6</v>
      </c>
      <c r="K21" s="24">
        <v>103.3</v>
      </c>
    </row>
    <row r="22" spans="1:11" x14ac:dyDescent="0.25">
      <c r="A22" s="233" t="s">
        <v>7</v>
      </c>
      <c r="B22" s="234"/>
      <c r="C22" s="234"/>
      <c r="D22" s="234"/>
      <c r="E22" s="234"/>
      <c r="F22" s="234"/>
      <c r="G22" s="234"/>
      <c r="H22" s="234"/>
      <c r="I22" s="234"/>
      <c r="J22" s="234"/>
      <c r="K22" s="235"/>
    </row>
    <row r="23" spans="1:11" x14ac:dyDescent="0.25">
      <c r="A23" s="4" t="s">
        <v>2</v>
      </c>
      <c r="B23" s="18">
        <v>92.95</v>
      </c>
      <c r="C23" s="18">
        <v>100.89</v>
      </c>
      <c r="D23" s="18">
        <v>104.7</v>
      </c>
      <c r="E23" s="18">
        <v>95.7</v>
      </c>
      <c r="F23" s="18">
        <v>92.95</v>
      </c>
      <c r="G23" s="18">
        <v>100.89</v>
      </c>
      <c r="H23" s="18">
        <v>97.39</v>
      </c>
      <c r="I23" s="18">
        <v>100.35</v>
      </c>
      <c r="J23" s="18">
        <v>101.96</v>
      </c>
      <c r="K23" s="21">
        <v>102.41</v>
      </c>
    </row>
    <row r="24" spans="1:11" x14ac:dyDescent="0.25">
      <c r="A24" s="4" t="s">
        <v>3</v>
      </c>
      <c r="B24" s="23">
        <v>96</v>
      </c>
      <c r="C24" s="23">
        <v>99.3</v>
      </c>
      <c r="D24" s="23">
        <v>99.3</v>
      </c>
      <c r="E24" s="23">
        <v>95.7</v>
      </c>
      <c r="F24" s="23">
        <v>96</v>
      </c>
      <c r="G24" s="23">
        <v>99.3</v>
      </c>
      <c r="H24" s="23">
        <v>97.2</v>
      </c>
      <c r="I24" s="23">
        <v>100.7</v>
      </c>
      <c r="J24" s="23">
        <v>101</v>
      </c>
      <c r="K24" s="24">
        <v>101.1</v>
      </c>
    </row>
    <row r="25" spans="1:11" x14ac:dyDescent="0.25">
      <c r="A25" s="236" t="s">
        <v>8</v>
      </c>
      <c r="B25" s="237"/>
      <c r="C25" s="237"/>
      <c r="D25" s="237"/>
      <c r="E25" s="237"/>
      <c r="F25" s="237"/>
      <c r="G25" s="237"/>
      <c r="H25" s="237"/>
      <c r="I25" s="237"/>
      <c r="J25" s="237"/>
      <c r="K25" s="238"/>
    </row>
    <row r="26" spans="1:11" x14ac:dyDescent="0.25">
      <c r="A26" s="4" t="s">
        <v>2</v>
      </c>
      <c r="B26" s="20">
        <v>1135.1600000000001</v>
      </c>
      <c r="C26" s="20">
        <v>1125.8</v>
      </c>
      <c r="D26" s="20">
        <v>1144.3599999999999</v>
      </c>
      <c r="E26" s="20">
        <v>1135.0899999999999</v>
      </c>
      <c r="F26" s="20">
        <v>1135.1600000000001</v>
      </c>
      <c r="G26" s="20">
        <v>1125.8</v>
      </c>
      <c r="H26" s="20">
        <v>1125.8499999999999</v>
      </c>
      <c r="I26" s="20">
        <v>1117.3499999999999</v>
      </c>
      <c r="J26" s="20">
        <v>1109.0999999999999</v>
      </c>
      <c r="K26" s="29">
        <v>1102.08</v>
      </c>
    </row>
    <row r="27" spans="1:11" x14ac:dyDescent="0.25">
      <c r="A27" s="4" t="s">
        <v>3</v>
      </c>
      <c r="B27" s="23">
        <v>146500</v>
      </c>
      <c r="C27" s="23">
        <v>146900</v>
      </c>
      <c r="D27" s="23">
        <v>143800</v>
      </c>
      <c r="E27" s="23">
        <v>146400</v>
      </c>
      <c r="F27" s="23">
        <v>146500</v>
      </c>
      <c r="G27" s="23">
        <v>146900</v>
      </c>
      <c r="H27" s="23">
        <v>146700</v>
      </c>
      <c r="I27" s="23">
        <v>147000</v>
      </c>
      <c r="J27" s="23">
        <v>147200</v>
      </c>
      <c r="K27" s="24">
        <v>147400</v>
      </c>
    </row>
    <row r="28" spans="1:11" ht="12.75" customHeight="1" x14ac:dyDescent="0.25">
      <c r="A28" s="242" t="s">
        <v>9</v>
      </c>
      <c r="B28" s="243"/>
      <c r="C28" s="243"/>
      <c r="D28" s="243"/>
      <c r="E28" s="243"/>
      <c r="F28" s="243"/>
      <c r="G28" s="243"/>
      <c r="H28" s="243"/>
      <c r="I28" s="243"/>
      <c r="J28" s="243"/>
      <c r="K28" s="244"/>
    </row>
    <row r="29" spans="1:11" x14ac:dyDescent="0.25">
      <c r="A29" s="4" t="s">
        <v>2</v>
      </c>
      <c r="B29" s="25">
        <v>13.9</v>
      </c>
      <c r="C29" s="25">
        <v>13.9</v>
      </c>
      <c r="D29" s="25">
        <v>13.8</v>
      </c>
      <c r="E29" s="25">
        <v>15.6</v>
      </c>
      <c r="F29" s="25">
        <v>13.9</v>
      </c>
      <c r="G29" s="25">
        <v>13.9</v>
      </c>
      <c r="H29" s="25">
        <v>14.8</v>
      </c>
      <c r="I29" s="25">
        <v>13.9</v>
      </c>
      <c r="J29" s="25">
        <v>13.9</v>
      </c>
      <c r="K29" s="28">
        <v>13.85</v>
      </c>
    </row>
    <row r="30" spans="1:11" x14ac:dyDescent="0.25">
      <c r="A30" s="4" t="s">
        <v>3</v>
      </c>
      <c r="B30" s="26">
        <v>13.2</v>
      </c>
      <c r="C30" s="26">
        <v>13.1</v>
      </c>
      <c r="D30" s="26">
        <v>11.2</v>
      </c>
      <c r="E30" s="26">
        <v>13.4</v>
      </c>
      <c r="F30" s="26">
        <v>13.2</v>
      </c>
      <c r="G30" s="26">
        <v>13.1</v>
      </c>
      <c r="H30" s="26">
        <v>13.7</v>
      </c>
      <c r="I30" s="26">
        <v>13.5</v>
      </c>
      <c r="J30" s="26">
        <v>13.6</v>
      </c>
      <c r="K30" s="27">
        <v>13.1</v>
      </c>
    </row>
    <row r="31" spans="1:11" ht="13.2" hidden="1" customHeight="1" x14ac:dyDescent="0.25">
      <c r="A31" s="194" t="s">
        <v>9</v>
      </c>
      <c r="B31" s="46"/>
      <c r="C31" s="46"/>
      <c r="D31" s="30"/>
      <c r="E31" s="30"/>
      <c r="F31" s="31"/>
      <c r="G31" s="31"/>
      <c r="H31" s="31"/>
      <c r="I31" s="31"/>
      <c r="J31" s="31"/>
      <c r="K31" s="32"/>
    </row>
    <row r="32" spans="1:11" ht="13.2" hidden="1" customHeight="1" x14ac:dyDescent="0.25">
      <c r="A32" s="4" t="s">
        <v>1</v>
      </c>
      <c r="B32" s="33"/>
      <c r="C32" s="33"/>
      <c r="D32" s="33"/>
      <c r="E32" s="33"/>
      <c r="F32" s="245"/>
      <c r="G32" s="245"/>
      <c r="H32" s="245"/>
      <c r="I32" s="245"/>
      <c r="J32" s="245"/>
      <c r="K32" s="246"/>
    </row>
    <row r="33" spans="1:11" hidden="1" x14ac:dyDescent="0.25">
      <c r="A33" s="4" t="s">
        <v>2</v>
      </c>
      <c r="B33" s="34"/>
      <c r="C33" s="34"/>
      <c r="D33" s="34"/>
      <c r="E33" s="34"/>
      <c r="F33" s="35"/>
      <c r="G33" s="35"/>
      <c r="H33" s="35"/>
      <c r="I33" s="35"/>
      <c r="J33" s="35"/>
      <c r="K33" s="36"/>
    </row>
    <row r="34" spans="1:11" hidden="1" x14ac:dyDescent="0.25">
      <c r="A34" s="4" t="s">
        <v>3</v>
      </c>
      <c r="B34" s="37"/>
      <c r="C34" s="37"/>
      <c r="D34" s="37"/>
      <c r="E34" s="37"/>
      <c r="F34" s="38"/>
      <c r="G34" s="38"/>
      <c r="H34" s="38"/>
      <c r="I34" s="38"/>
      <c r="J34" s="38"/>
      <c r="K34" s="39"/>
    </row>
    <row r="35" spans="1:11" x14ac:dyDescent="0.25">
      <c r="A35" s="233" t="s">
        <v>10</v>
      </c>
      <c r="B35" s="234"/>
      <c r="C35" s="234"/>
      <c r="D35" s="234"/>
      <c r="E35" s="234"/>
      <c r="F35" s="234"/>
      <c r="G35" s="234"/>
      <c r="H35" s="234"/>
      <c r="I35" s="234"/>
      <c r="J35" s="234"/>
      <c r="K35" s="235"/>
    </row>
    <row r="36" spans="1:11" x14ac:dyDescent="0.25">
      <c r="A36" s="4" t="s">
        <v>2</v>
      </c>
      <c r="B36" s="40">
        <f t="shared" ref="B36:C36" si="0">B8*1000/B26</f>
        <v>353.3193558617287</v>
      </c>
      <c r="C36" s="40">
        <f t="shared" si="0"/>
        <v>383.58944750399718</v>
      </c>
      <c r="D36" s="40">
        <f t="shared" ref="D36:K36" si="1">D8*1000/D26</f>
        <v>299.17071550910555</v>
      </c>
      <c r="E36" s="40">
        <f>E8*1000/E26</f>
        <v>359.79525852575568</v>
      </c>
      <c r="F36" s="40">
        <f t="shared" si="1"/>
        <v>353.3193558617287</v>
      </c>
      <c r="G36" s="40">
        <f t="shared" si="1"/>
        <v>383.58944750399718</v>
      </c>
      <c r="H36" s="40">
        <f t="shared" si="1"/>
        <v>393.26730914420222</v>
      </c>
      <c r="I36" s="40">
        <f>I8*1000/I26</f>
        <v>429.87425605226656</v>
      </c>
      <c r="J36" s="40">
        <f t="shared" ref="J36" si="2">J8*1000/J26</f>
        <v>460.95933639888199</v>
      </c>
      <c r="K36" s="47">
        <f t="shared" si="1"/>
        <v>492.70470383275267</v>
      </c>
    </row>
    <row r="37" spans="1:11" x14ac:dyDescent="0.25">
      <c r="A37" s="4" t="s">
        <v>3</v>
      </c>
      <c r="B37" s="40">
        <f>B9*1000/B27</f>
        <v>501.80887372013655</v>
      </c>
      <c r="C37" s="40">
        <f t="shared" ref="C37" si="3">C9*1000/C27</f>
        <v>535.55479918311778</v>
      </c>
      <c r="D37" s="40">
        <f>D9*1000/D27</f>
        <v>496.5646731571627</v>
      </c>
      <c r="E37" s="40">
        <f t="shared" ref="E37:K37" si="4">E9*1000/E27</f>
        <v>551.93989071038254</v>
      </c>
      <c r="F37" s="40">
        <f t="shared" si="4"/>
        <v>501.80887372013655</v>
      </c>
      <c r="G37" s="40">
        <f t="shared" si="4"/>
        <v>535.55479918311778</v>
      </c>
      <c r="H37" s="40">
        <f t="shared" si="4"/>
        <v>574.95569188820718</v>
      </c>
      <c r="I37" s="40">
        <f t="shared" si="4"/>
        <v>608.75510204081638</v>
      </c>
      <c r="J37" s="40">
        <f t="shared" ref="J37" si="5">J9*1000/J27</f>
        <v>647.866847826087</v>
      </c>
      <c r="K37" s="47">
        <f t="shared" si="4"/>
        <v>688.08005427408409</v>
      </c>
    </row>
    <row r="38" spans="1:11" ht="52.8" x14ac:dyDescent="0.25">
      <c r="A38" s="5" t="s">
        <v>11</v>
      </c>
      <c r="B38" s="41">
        <f>+B36/B37</f>
        <v>0.70409148655027209</v>
      </c>
      <c r="C38" s="41">
        <f>+C36/C37</f>
        <v>0.71624686790051462</v>
      </c>
      <c r="D38" s="41">
        <f>+D36/D37</f>
        <v>0.60248086841735116</v>
      </c>
      <c r="E38" s="41">
        <f>+E36/E37</f>
        <v>0.65187398950758169</v>
      </c>
      <c r="F38" s="41">
        <f t="shared" ref="F38:H38" si="6">+F36/F37</f>
        <v>0.70409148655027209</v>
      </c>
      <c r="G38" s="41">
        <f t="shared" si="6"/>
        <v>0.71624686790051462</v>
      </c>
      <c r="H38" s="41">
        <f t="shared" si="6"/>
        <v>0.68399585340685354</v>
      </c>
      <c r="I38" s="41">
        <f>+I36/I37</f>
        <v>0.70615302378762479</v>
      </c>
      <c r="J38" s="41">
        <f>+J36/J37</f>
        <v>0.71150320153844582</v>
      </c>
      <c r="K38" s="42">
        <f>+K36/K37</f>
        <v>0.71605723893937023</v>
      </c>
    </row>
    <row r="39" spans="1:11" x14ac:dyDescent="0.25">
      <c r="A39" s="236" t="s">
        <v>12</v>
      </c>
      <c r="B39" s="237"/>
      <c r="C39" s="237"/>
      <c r="D39" s="237"/>
      <c r="E39" s="237"/>
      <c r="F39" s="237"/>
      <c r="G39" s="237"/>
      <c r="H39" s="237"/>
      <c r="I39" s="237"/>
      <c r="J39" s="237"/>
      <c r="K39" s="238"/>
    </row>
    <row r="40" spans="1:11" x14ac:dyDescent="0.25">
      <c r="A40" s="9" t="s">
        <v>3</v>
      </c>
      <c r="B40" s="23">
        <v>112.2</v>
      </c>
      <c r="C40" s="23">
        <v>106.4</v>
      </c>
      <c r="D40" s="23">
        <v>111.4</v>
      </c>
      <c r="E40" s="23">
        <v>112.9</v>
      </c>
      <c r="F40" s="23">
        <v>112.2</v>
      </c>
      <c r="G40" s="23">
        <v>106.4</v>
      </c>
      <c r="H40" s="23">
        <v>106.5</v>
      </c>
      <c r="I40" s="23">
        <v>104.9</v>
      </c>
      <c r="J40" s="23">
        <v>104.5</v>
      </c>
      <c r="K40" s="24">
        <v>104</v>
      </c>
    </row>
    <row r="41" spans="1:11" x14ac:dyDescent="0.25">
      <c r="A41" s="239" t="s">
        <v>26</v>
      </c>
      <c r="B41" s="240"/>
      <c r="C41" s="240"/>
      <c r="D41" s="240"/>
      <c r="E41" s="240"/>
      <c r="F41" s="240"/>
      <c r="G41" s="240"/>
      <c r="H41" s="240"/>
      <c r="I41" s="240"/>
      <c r="J41" s="240"/>
      <c r="K41" s="241"/>
    </row>
    <row r="42" spans="1:11" x14ac:dyDescent="0.25">
      <c r="A42" s="4" t="s">
        <v>2</v>
      </c>
      <c r="B42" s="23">
        <v>35127.129999999997</v>
      </c>
      <c r="C42" s="23">
        <v>36539.26</v>
      </c>
      <c r="D42" s="23">
        <v>33124.800000000003</v>
      </c>
      <c r="E42" s="23">
        <v>35591.699999999997</v>
      </c>
      <c r="F42" s="23">
        <v>35127.129999999997</v>
      </c>
      <c r="G42" s="23">
        <v>36539.26</v>
      </c>
      <c r="H42" s="23">
        <v>37845.94</v>
      </c>
      <c r="I42" s="23">
        <v>39520.19</v>
      </c>
      <c r="J42" s="23">
        <v>41686.32</v>
      </c>
      <c r="K42" s="24">
        <v>44004.43</v>
      </c>
    </row>
    <row r="43" spans="1:11" x14ac:dyDescent="0.25">
      <c r="A43" s="6" t="s">
        <v>3</v>
      </c>
      <c r="B43" s="23">
        <v>34352</v>
      </c>
      <c r="C43" s="23">
        <v>36838</v>
      </c>
      <c r="D43" s="23">
        <v>32495</v>
      </c>
      <c r="E43" s="23">
        <v>33981</v>
      </c>
      <c r="F43" s="23">
        <v>34352</v>
      </c>
      <c r="G43" s="23">
        <v>36838</v>
      </c>
      <c r="H43" s="23">
        <v>35987</v>
      </c>
      <c r="I43" s="23">
        <v>38442</v>
      </c>
      <c r="J43" s="23">
        <v>40795</v>
      </c>
      <c r="K43" s="24">
        <v>43074</v>
      </c>
    </row>
    <row r="44" spans="1:11" ht="93" thickBot="1" x14ac:dyDescent="0.3">
      <c r="A44" s="7" t="s">
        <v>27</v>
      </c>
      <c r="B44" s="43">
        <f>+B42/B43</f>
        <v>1.0225643339543549</v>
      </c>
      <c r="C44" s="43">
        <f t="shared" ref="C44:K44" si="7">+C42/C43</f>
        <v>0.99189043922037035</v>
      </c>
      <c r="D44" s="43">
        <f t="shared" si="7"/>
        <v>1.0193814432989692</v>
      </c>
      <c r="E44" s="43">
        <f>+E42/E43</f>
        <v>1.0474000176569258</v>
      </c>
      <c r="F44" s="43">
        <f t="shared" si="7"/>
        <v>1.0225643339543549</v>
      </c>
      <c r="G44" s="43">
        <f t="shared" si="7"/>
        <v>0.99189043922037035</v>
      </c>
      <c r="H44" s="43">
        <f>+H42/H43</f>
        <v>1.0516558757329035</v>
      </c>
      <c r="I44" s="43">
        <f t="shared" si="7"/>
        <v>1.0280471879714896</v>
      </c>
      <c r="J44" s="43">
        <f t="shared" si="7"/>
        <v>1.0218487559749969</v>
      </c>
      <c r="K44" s="43">
        <f t="shared" si="7"/>
        <v>1.0216007336212101</v>
      </c>
    </row>
    <row r="45" spans="1:11" ht="13.8" thickTop="1" x14ac:dyDescent="0.25">
      <c r="B45" s="11"/>
      <c r="C45" s="11"/>
      <c r="D45" s="11"/>
      <c r="E45" s="11"/>
      <c r="F45" s="11"/>
      <c r="G45" s="11"/>
      <c r="H45" s="11"/>
      <c r="I45" s="11"/>
      <c r="J45" s="11"/>
      <c r="K45" s="11"/>
    </row>
  </sheetData>
  <mergeCells count="17">
    <mergeCell ref="A22:K22"/>
    <mergeCell ref="A7:K7"/>
    <mergeCell ref="A10:K10"/>
    <mergeCell ref="A13:K13"/>
    <mergeCell ref="A16:K16"/>
    <mergeCell ref="A19:K19"/>
    <mergeCell ref="A35:K35"/>
    <mergeCell ref="A39:K39"/>
    <mergeCell ref="A41:K41"/>
    <mergeCell ref="A25:K25"/>
    <mergeCell ref="A28:K28"/>
    <mergeCell ref="F32:K32"/>
    <mergeCell ref="I1:K1"/>
    <mergeCell ref="A2:K2"/>
    <mergeCell ref="A4:A5"/>
    <mergeCell ref="D4:K4"/>
    <mergeCell ref="B4:C4"/>
  </mergeCells>
  <dataValidations count="1">
    <dataValidation type="decimal" allowBlank="1" showInputMessage="1" showErrorMessage="1" errorTitle="Вводить можно только числа!" error="Ошибка ввода данных, см. методические рекомендации Раздел 1." sqref="D27:E27 D35:E35">
      <formula1>0</formula1>
      <formula2>9.99999999999999E+132</formula2>
    </dataValidation>
  </dataValidations>
  <pageMargins left="0.51181102362204722" right="0.15748031496062992" top="0.59055118110236227" bottom="0.59055118110236227" header="0.51181102362204722" footer="0.31496062992125984"/>
  <pageSetup paperSize="9" scale="86" fitToHeight="2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0"/>
  <sheetViews>
    <sheetView zoomScaleNormal="100" zoomScaleSheetLayoutView="70" workbookViewId="0">
      <selection activeCell="E7" sqref="E7"/>
    </sheetView>
  </sheetViews>
  <sheetFormatPr defaultColWidth="9.109375" defaultRowHeight="13.2" x14ac:dyDescent="0.3"/>
  <cols>
    <col min="1" max="1" width="22.88671875" style="70" customWidth="1"/>
    <col min="2" max="2" width="11.5546875" style="71" customWidth="1"/>
    <col min="3" max="5" width="9.109375" style="71" customWidth="1"/>
    <col min="6" max="9" width="9.109375" style="71"/>
    <col min="10" max="13" width="0" style="71" hidden="1" customWidth="1"/>
    <col min="14" max="14" width="11.5546875" style="63" bestFit="1" customWidth="1"/>
    <col min="15" max="16384" width="9.109375" style="63"/>
  </cols>
  <sheetData>
    <row r="1" spans="1:14" x14ac:dyDescent="0.3">
      <c r="I1" s="77" t="s">
        <v>408</v>
      </c>
    </row>
    <row r="3" spans="1:14" s="51" customFormat="1" ht="73.8" customHeight="1" x14ac:dyDescent="0.3">
      <c r="A3" s="277" t="s">
        <v>413</v>
      </c>
      <c r="B3" s="277"/>
      <c r="C3" s="277"/>
      <c r="D3" s="277"/>
      <c r="E3" s="277"/>
      <c r="F3" s="277"/>
      <c r="G3" s="277"/>
      <c r="H3" s="277"/>
      <c r="I3" s="277"/>
      <c r="J3" s="76"/>
      <c r="K3" s="76"/>
      <c r="L3" s="76"/>
      <c r="M3" s="76"/>
    </row>
    <row r="4" spans="1:14" s="51" customFormat="1" ht="13.8" x14ac:dyDescent="0.3">
      <c r="A4" s="210"/>
      <c r="B4" s="210"/>
      <c r="C4" s="210"/>
      <c r="D4" s="210"/>
      <c r="E4" s="210"/>
      <c r="F4" s="210"/>
      <c r="G4" s="210"/>
      <c r="H4" s="210"/>
      <c r="I4" s="210"/>
      <c r="J4" s="76"/>
      <c r="K4" s="76"/>
      <c r="L4" s="76"/>
      <c r="M4" s="76"/>
    </row>
    <row r="5" spans="1:14" s="51" customFormat="1" ht="14.4" thickBot="1" x14ac:dyDescent="0.35">
      <c r="A5" s="210"/>
      <c r="B5" s="210"/>
      <c r="C5" s="210"/>
      <c r="D5" s="210"/>
      <c r="E5" s="210"/>
      <c r="F5" s="210"/>
      <c r="G5" s="210"/>
      <c r="H5" s="210"/>
      <c r="I5" s="278" t="s">
        <v>412</v>
      </c>
      <c r="J5" s="76"/>
      <c r="K5" s="76"/>
      <c r="L5" s="76"/>
      <c r="M5" s="76"/>
    </row>
    <row r="6" spans="1:14" s="53" customFormat="1" ht="40.799999999999997" customHeight="1" thickTop="1" x14ac:dyDescent="0.3">
      <c r="A6" s="250" t="s">
        <v>13</v>
      </c>
      <c r="B6" s="248" t="s">
        <v>37</v>
      </c>
      <c r="C6" s="248"/>
      <c r="D6" s="248" t="s">
        <v>38</v>
      </c>
      <c r="E6" s="248"/>
      <c r="F6" s="248" t="s">
        <v>39</v>
      </c>
      <c r="G6" s="248"/>
      <c r="H6" s="248" t="s">
        <v>40</v>
      </c>
      <c r="I6" s="249"/>
      <c r="J6" s="247" t="s">
        <v>41</v>
      </c>
      <c r="K6" s="248"/>
      <c r="L6" s="248"/>
      <c r="M6" s="249"/>
    </row>
    <row r="7" spans="1:14" s="53" customFormat="1" ht="40.799999999999997" customHeight="1" x14ac:dyDescent="0.3">
      <c r="A7" s="251"/>
      <c r="B7" s="54" t="s">
        <v>42</v>
      </c>
      <c r="C7" s="54" t="s">
        <v>43</v>
      </c>
      <c r="D7" s="54" t="s">
        <v>42</v>
      </c>
      <c r="E7" s="54" t="s">
        <v>43</v>
      </c>
      <c r="F7" s="54" t="s">
        <v>42</v>
      </c>
      <c r="G7" s="54" t="s">
        <v>43</v>
      </c>
      <c r="H7" s="54" t="s">
        <v>42</v>
      </c>
      <c r="I7" s="81" t="s">
        <v>43</v>
      </c>
      <c r="J7" s="78" t="s">
        <v>42</v>
      </c>
      <c r="K7" s="55" t="s">
        <v>44</v>
      </c>
      <c r="L7" s="54" t="s">
        <v>43</v>
      </c>
      <c r="M7" s="56" t="s">
        <v>45</v>
      </c>
    </row>
    <row r="8" spans="1:14" s="62" customFormat="1" x14ac:dyDescent="0.3">
      <c r="A8" s="57" t="s">
        <v>46</v>
      </c>
      <c r="B8" s="58">
        <v>6410.1594851547679</v>
      </c>
      <c r="C8" s="58">
        <v>7838.7723200549945</v>
      </c>
      <c r="D8" s="58">
        <v>7061.0011831939091</v>
      </c>
      <c r="E8" s="58">
        <v>10824.003345051227</v>
      </c>
      <c r="F8" s="58">
        <v>6810.4214909810489</v>
      </c>
      <c r="G8" s="58">
        <v>9912.2081566329252</v>
      </c>
      <c r="H8" s="59">
        <v>7152.2893435469787</v>
      </c>
      <c r="I8" s="60">
        <v>10999.303791331329</v>
      </c>
      <c r="J8" s="79">
        <v>7711.5810530475146</v>
      </c>
      <c r="K8" s="59">
        <v>9835.3878202859578</v>
      </c>
      <c r="L8" s="59">
        <v>10954.463597747705</v>
      </c>
      <c r="M8" s="60">
        <v>12571.493057633779</v>
      </c>
      <c r="N8" s="61"/>
    </row>
    <row r="9" spans="1:14" x14ac:dyDescent="0.3">
      <c r="A9" s="57" t="s">
        <v>47</v>
      </c>
      <c r="B9" s="58">
        <v>3206.9752129555654</v>
      </c>
      <c r="C9" s="58">
        <v>9573.0498242271533</v>
      </c>
      <c r="D9" s="58">
        <v>4726.2958867342995</v>
      </c>
      <c r="E9" s="58">
        <v>16790.531150635674</v>
      </c>
      <c r="F9" s="58">
        <v>4940.0117890272986</v>
      </c>
      <c r="G9" s="58">
        <v>17425.083350119268</v>
      </c>
      <c r="H9" s="59">
        <v>5560.4101926662515</v>
      </c>
      <c r="I9" s="60">
        <v>18988.930322491538</v>
      </c>
      <c r="J9" s="79">
        <v>6051.0269709543563</v>
      </c>
      <c r="K9" s="59">
        <v>9835.3878202859578</v>
      </c>
      <c r="L9" s="59">
        <v>18696.591429389038</v>
      </c>
      <c r="M9" s="60">
        <v>12571.493057633779</v>
      </c>
      <c r="N9" s="61"/>
    </row>
    <row r="10" spans="1:14" x14ac:dyDescent="0.3">
      <c r="A10" s="57" t="s">
        <v>48</v>
      </c>
      <c r="B10" s="58">
        <v>4777.0264131835766</v>
      </c>
      <c r="C10" s="58">
        <v>13210.887580556069</v>
      </c>
      <c r="D10" s="58">
        <v>5657.17779464454</v>
      </c>
      <c r="E10" s="58">
        <v>17762.929256081465</v>
      </c>
      <c r="F10" s="58">
        <v>5900.231716547597</v>
      </c>
      <c r="G10" s="58">
        <v>17372.668480401622</v>
      </c>
      <c r="H10" s="59">
        <v>6113.2858837485173</v>
      </c>
      <c r="I10" s="60">
        <v>18698.744563068409</v>
      </c>
      <c r="J10" s="79">
        <v>6780.1551828043384</v>
      </c>
      <c r="K10" s="59">
        <v>9835.3878202859578</v>
      </c>
      <c r="L10" s="59">
        <v>17659.68511450382</v>
      </c>
      <c r="M10" s="60">
        <v>12571.493057633779</v>
      </c>
      <c r="N10" s="61"/>
    </row>
    <row r="11" spans="1:14" x14ac:dyDescent="0.3">
      <c r="A11" s="57" t="s">
        <v>49</v>
      </c>
      <c r="B11" s="58">
        <v>4358.7298900761489</v>
      </c>
      <c r="C11" s="58">
        <v>8227.7915456890205</v>
      </c>
      <c r="D11" s="58">
        <v>5081.2747435735882</v>
      </c>
      <c r="E11" s="58">
        <v>13988.658816154233</v>
      </c>
      <c r="F11" s="58">
        <v>4881.100830681301</v>
      </c>
      <c r="G11" s="58">
        <v>14182.139994154706</v>
      </c>
      <c r="H11" s="59">
        <v>5299.3736673773992</v>
      </c>
      <c r="I11" s="60">
        <v>14686.720415778253</v>
      </c>
      <c r="J11" s="79">
        <v>5389.179559145673</v>
      </c>
      <c r="K11" s="59">
        <v>9835.3878202859578</v>
      </c>
      <c r="L11" s="59">
        <v>14725.406284227818</v>
      </c>
      <c r="M11" s="60">
        <v>12571.493057633779</v>
      </c>
      <c r="N11" s="61"/>
    </row>
    <row r="12" spans="1:14" x14ac:dyDescent="0.3">
      <c r="A12" s="57" t="s">
        <v>50</v>
      </c>
      <c r="B12" s="58">
        <v>4706.3117987034411</v>
      </c>
      <c r="C12" s="58">
        <v>8467.2116998132096</v>
      </c>
      <c r="D12" s="58">
        <v>5572.1910099383713</v>
      </c>
      <c r="E12" s="58">
        <v>12457.894191327521</v>
      </c>
      <c r="F12" s="58">
        <v>5546.4248374439458</v>
      </c>
      <c r="G12" s="58">
        <v>12326.486496636771</v>
      </c>
      <c r="H12" s="59">
        <v>5849.8097103918235</v>
      </c>
      <c r="I12" s="60">
        <v>13058.282169222033</v>
      </c>
      <c r="J12" s="79">
        <v>6023.1710397887109</v>
      </c>
      <c r="K12" s="59">
        <v>9835.3878202859578</v>
      </c>
      <c r="L12" s="59">
        <v>13089.858758684044</v>
      </c>
      <c r="M12" s="60">
        <v>12571.493057633779</v>
      </c>
      <c r="N12" s="61"/>
    </row>
    <row r="13" spans="1:14" x14ac:dyDescent="0.3">
      <c r="A13" s="57" t="s">
        <v>51</v>
      </c>
      <c r="B13" s="58">
        <v>5384.4755485893411</v>
      </c>
      <c r="C13" s="58">
        <v>8033.3029760723775</v>
      </c>
      <c r="D13" s="58">
        <v>5710.2851245289203</v>
      </c>
      <c r="E13" s="58">
        <v>11088.644128297559</v>
      </c>
      <c r="F13" s="58">
        <v>5583.7006733482121</v>
      </c>
      <c r="G13" s="58">
        <v>11173.097589590263</v>
      </c>
      <c r="H13" s="59">
        <v>6085.4438585876042</v>
      </c>
      <c r="I13" s="60">
        <v>13709.27046417149</v>
      </c>
      <c r="J13" s="79">
        <v>5845.7112914734207</v>
      </c>
      <c r="K13" s="59">
        <v>9835.3878202859578</v>
      </c>
      <c r="L13" s="59">
        <v>13721.71914020692</v>
      </c>
      <c r="M13" s="60">
        <v>12571.493057633779</v>
      </c>
      <c r="N13" s="61"/>
    </row>
    <row r="14" spans="1:14" x14ac:dyDescent="0.3">
      <c r="A14" s="57" t="s">
        <v>52</v>
      </c>
      <c r="B14" s="58">
        <v>6064.7543803686904</v>
      </c>
      <c r="C14" s="58">
        <v>10479.733629475919</v>
      </c>
      <c r="D14" s="58">
        <v>6701.6676323256033</v>
      </c>
      <c r="E14" s="58">
        <v>13150.439768124448</v>
      </c>
      <c r="F14" s="58">
        <v>6843.2296722613964</v>
      </c>
      <c r="G14" s="58">
        <v>13433.387582679514</v>
      </c>
      <c r="H14" s="59">
        <v>7230.0478468899519</v>
      </c>
      <c r="I14" s="60">
        <v>13883.223369428357</v>
      </c>
      <c r="J14" s="79">
        <v>7641.712833545108</v>
      </c>
      <c r="K14" s="59">
        <v>9835.3878202859578</v>
      </c>
      <c r="L14" s="59">
        <v>13400.13214739517</v>
      </c>
      <c r="M14" s="60">
        <v>12571.493057633779</v>
      </c>
      <c r="N14" s="61"/>
    </row>
    <row r="15" spans="1:14" x14ac:dyDescent="0.3">
      <c r="A15" s="57" t="s">
        <v>53</v>
      </c>
      <c r="B15" s="58">
        <v>4236.5760080705431</v>
      </c>
      <c r="C15" s="58">
        <v>10595.348986698549</v>
      </c>
      <c r="D15" s="58">
        <v>5650.6191903636491</v>
      </c>
      <c r="E15" s="58">
        <v>16750.413350613704</v>
      </c>
      <c r="F15" s="58">
        <v>5757.6522733266111</v>
      </c>
      <c r="G15" s="58">
        <v>17521.578434809584</v>
      </c>
      <c r="H15" s="59">
        <v>6441.1778416580637</v>
      </c>
      <c r="I15" s="60">
        <v>18211.121461129198</v>
      </c>
      <c r="J15" s="79">
        <v>6509.5187469566627</v>
      </c>
      <c r="K15" s="59">
        <v>9835.3878202859578</v>
      </c>
      <c r="L15" s="59">
        <v>17983.922252881028</v>
      </c>
      <c r="M15" s="60">
        <v>12571.493057633779</v>
      </c>
      <c r="N15" s="61"/>
    </row>
    <row r="16" spans="1:14" x14ac:dyDescent="0.3">
      <c r="A16" s="57" t="s">
        <v>54</v>
      </c>
      <c r="B16" s="58">
        <v>8484.220028693293</v>
      </c>
      <c r="C16" s="58">
        <v>12014.611653354013</v>
      </c>
      <c r="D16" s="58">
        <v>8248.9782337890792</v>
      </c>
      <c r="E16" s="58">
        <v>14813.254239226035</v>
      </c>
      <c r="F16" s="58">
        <v>8277.5592524889853</v>
      </c>
      <c r="G16" s="58">
        <v>14523.707448996249</v>
      </c>
      <c r="H16" s="59">
        <v>9231.6679213718107</v>
      </c>
      <c r="I16" s="60">
        <v>16721.387703889584</v>
      </c>
      <c r="J16" s="79">
        <v>9429.4129798588401</v>
      </c>
      <c r="K16" s="59">
        <v>9835.3878202859578</v>
      </c>
      <c r="L16" s="59">
        <v>18539.802031330692</v>
      </c>
      <c r="M16" s="60">
        <v>12571.493057633779</v>
      </c>
      <c r="N16" s="61"/>
    </row>
    <row r="17" spans="1:14" x14ac:dyDescent="0.3">
      <c r="A17" s="57" t="s">
        <v>55</v>
      </c>
      <c r="B17" s="58">
        <v>4659.0725222001329</v>
      </c>
      <c r="C17" s="58">
        <v>17240.199096090128</v>
      </c>
      <c r="D17" s="58">
        <v>5431.9975923108841</v>
      </c>
      <c r="E17" s="58">
        <v>23304.532511409212</v>
      </c>
      <c r="F17" s="58">
        <v>5753.9681031281243</v>
      </c>
      <c r="G17" s="58">
        <v>23468.408897300385</v>
      </c>
      <c r="H17" s="59">
        <v>5928.6275651288015</v>
      </c>
      <c r="I17" s="60">
        <v>24366.424101295299</v>
      </c>
      <c r="J17" s="79">
        <v>6255.916972814106</v>
      </c>
      <c r="K17" s="59">
        <v>9835.3878202859578</v>
      </c>
      <c r="L17" s="59">
        <v>24140.09037472447</v>
      </c>
      <c r="M17" s="60">
        <v>12571.493057633779</v>
      </c>
      <c r="N17" s="61"/>
    </row>
    <row r="18" spans="1:14" x14ac:dyDescent="0.3">
      <c r="A18" s="57" t="s">
        <v>56</v>
      </c>
      <c r="B18" s="58">
        <v>9592.8700209518101</v>
      </c>
      <c r="C18" s="58">
        <v>19627.430531776914</v>
      </c>
      <c r="D18" s="58">
        <v>10647.877396770236</v>
      </c>
      <c r="E18" s="58">
        <v>25353.355728740804</v>
      </c>
      <c r="F18" s="58">
        <v>12447.952946308027</v>
      </c>
      <c r="G18" s="58">
        <v>27352.740567037072</v>
      </c>
      <c r="H18" s="59">
        <v>13617.981227589116</v>
      </c>
      <c r="I18" s="60">
        <v>28968.10778316811</v>
      </c>
      <c r="J18" s="79">
        <v>16539.299859322582</v>
      </c>
      <c r="K18" s="59">
        <v>9835.3878202859578</v>
      </c>
      <c r="L18" s="59">
        <v>25944.310139595284</v>
      </c>
      <c r="M18" s="60">
        <v>12571.493057633779</v>
      </c>
      <c r="N18" s="61"/>
    </row>
    <row r="19" spans="1:14" x14ac:dyDescent="0.3">
      <c r="A19" s="57" t="s">
        <v>57</v>
      </c>
      <c r="B19" s="58">
        <v>7430.8828519301596</v>
      </c>
      <c r="C19" s="58">
        <v>8113.4739036284282</v>
      </c>
      <c r="D19" s="58">
        <v>7738.4030970670401</v>
      </c>
      <c r="E19" s="58">
        <v>10374.838152932962</v>
      </c>
      <c r="F19" s="58">
        <v>7490.3029693486587</v>
      </c>
      <c r="G19" s="58">
        <v>10105.710234851709</v>
      </c>
      <c r="H19" s="59">
        <v>8135.3421489992052</v>
      </c>
      <c r="I19" s="60">
        <v>11772.035551701711</v>
      </c>
      <c r="J19" s="79">
        <v>7678.9058397130066</v>
      </c>
      <c r="K19" s="59">
        <v>9835.3878202859578</v>
      </c>
      <c r="L19" s="59">
        <v>11823.785458042088</v>
      </c>
      <c r="M19" s="60">
        <v>12571.493057633779</v>
      </c>
      <c r="N19" s="61"/>
    </row>
    <row r="20" spans="1:14" x14ac:dyDescent="0.3">
      <c r="A20" s="57" t="s">
        <v>58</v>
      </c>
      <c r="B20" s="58">
        <v>4850.1462148649825</v>
      </c>
      <c r="C20" s="58">
        <v>7546.9546327355174</v>
      </c>
      <c r="D20" s="58">
        <v>5070.0327945156578</v>
      </c>
      <c r="E20" s="58">
        <v>9622.3749412604448</v>
      </c>
      <c r="F20" s="58">
        <v>5456.3469018442111</v>
      </c>
      <c r="G20" s="58">
        <v>9193.5526771414679</v>
      </c>
      <c r="H20" s="59">
        <v>6158.4500495785824</v>
      </c>
      <c r="I20" s="60">
        <v>9603.3000743678731</v>
      </c>
      <c r="J20" s="79">
        <v>6348.8204158189219</v>
      </c>
      <c r="K20" s="59">
        <v>9835.3878202859578</v>
      </c>
      <c r="L20" s="59">
        <v>9759.1364127670404</v>
      </c>
      <c r="M20" s="60">
        <v>12571.493057633779</v>
      </c>
      <c r="N20" s="61"/>
    </row>
    <row r="21" spans="1:14" x14ac:dyDescent="0.3">
      <c r="A21" s="57" t="s">
        <v>59</v>
      </c>
      <c r="B21" s="58">
        <v>4918.6149744417553</v>
      </c>
      <c r="C21" s="58">
        <v>10304.340790191784</v>
      </c>
      <c r="D21" s="58">
        <v>5134.9655864968854</v>
      </c>
      <c r="E21" s="58">
        <v>17482.27408742909</v>
      </c>
      <c r="F21" s="58">
        <v>5153.6858987826236</v>
      </c>
      <c r="G21" s="58">
        <v>17938.002498269616</v>
      </c>
      <c r="H21" s="59">
        <v>5640.3218622631202</v>
      </c>
      <c r="I21" s="60">
        <v>19114.329173494683</v>
      </c>
      <c r="J21" s="79">
        <v>6158.4699334753677</v>
      </c>
      <c r="K21" s="59">
        <v>9835.3878202859578</v>
      </c>
      <c r="L21" s="59">
        <v>19181.979651289188</v>
      </c>
      <c r="M21" s="60">
        <v>12571.493057633779</v>
      </c>
      <c r="N21" s="61"/>
    </row>
    <row r="22" spans="1:14" x14ac:dyDescent="0.3">
      <c r="A22" s="57" t="s">
        <v>60</v>
      </c>
      <c r="B22" s="58">
        <v>6097.8384040804285</v>
      </c>
      <c r="C22" s="58">
        <v>8337.1884019727695</v>
      </c>
      <c r="D22" s="58">
        <v>6097.2229921825647</v>
      </c>
      <c r="E22" s="58">
        <v>9358.4014866189027</v>
      </c>
      <c r="F22" s="58">
        <v>5999.7769716350258</v>
      </c>
      <c r="G22" s="58">
        <v>9079.7329879718145</v>
      </c>
      <c r="H22" s="59">
        <v>6535.9476821038461</v>
      </c>
      <c r="I22" s="60">
        <v>9897.7698569142631</v>
      </c>
      <c r="J22" s="79">
        <v>6680.5246428571436</v>
      </c>
      <c r="K22" s="59">
        <v>9835.3878202859578</v>
      </c>
      <c r="L22" s="59">
        <v>9731.429404761906</v>
      </c>
      <c r="M22" s="60">
        <v>12571.493057633779</v>
      </c>
      <c r="N22" s="61"/>
    </row>
    <row r="23" spans="1:14" x14ac:dyDescent="0.3">
      <c r="A23" s="57" t="s">
        <v>61</v>
      </c>
      <c r="B23" s="58">
        <v>7745.1560587384911</v>
      </c>
      <c r="C23" s="58">
        <v>9391.5838149585325</v>
      </c>
      <c r="D23" s="58">
        <v>8435.1641661888934</v>
      </c>
      <c r="E23" s="58">
        <v>15551.47345793678</v>
      </c>
      <c r="F23" s="58">
        <v>9359.7586290539239</v>
      </c>
      <c r="G23" s="58">
        <v>15258.442183074265</v>
      </c>
      <c r="H23" s="59">
        <v>9654.200801479652</v>
      </c>
      <c r="I23" s="60">
        <v>15844.34028976572</v>
      </c>
      <c r="J23" s="79">
        <v>9857.139644006671</v>
      </c>
      <c r="K23" s="59">
        <v>9835.3878202859578</v>
      </c>
      <c r="L23" s="59">
        <v>15227.651917632915</v>
      </c>
      <c r="M23" s="60">
        <v>12571.493057633779</v>
      </c>
      <c r="N23" s="61"/>
    </row>
    <row r="24" spans="1:14" x14ac:dyDescent="0.3">
      <c r="A24" s="57" t="s">
        <v>62</v>
      </c>
      <c r="B24" s="58">
        <v>5234.6968162906333</v>
      </c>
      <c r="C24" s="58">
        <v>9155.6095788654729</v>
      </c>
      <c r="D24" s="58">
        <v>5916.041182296718</v>
      </c>
      <c r="E24" s="58">
        <v>13244.311406704532</v>
      </c>
      <c r="F24" s="58">
        <v>6776.1695199660144</v>
      </c>
      <c r="G24" s="58">
        <v>13402.093656188048</v>
      </c>
      <c r="H24" s="59">
        <v>7071.1988344065894</v>
      </c>
      <c r="I24" s="60">
        <v>14851.904701946254</v>
      </c>
      <c r="J24" s="79">
        <v>7932.5461741424806</v>
      </c>
      <c r="K24" s="59">
        <v>9835.3878202859578</v>
      </c>
      <c r="L24" s="59">
        <v>14111.3866901202</v>
      </c>
      <c r="M24" s="60">
        <v>12571.493057633779</v>
      </c>
      <c r="N24" s="61"/>
    </row>
    <row r="25" spans="1:14" x14ac:dyDescent="0.3">
      <c r="A25" s="57" t="s">
        <v>63</v>
      </c>
      <c r="B25" s="58">
        <v>4606.6208322220373</v>
      </c>
      <c r="C25" s="58">
        <v>7410.225599683281</v>
      </c>
      <c r="D25" s="58">
        <v>5110.930600653538</v>
      </c>
      <c r="E25" s="58">
        <v>13346.99561054261</v>
      </c>
      <c r="F25" s="58">
        <v>5276.0919944316774</v>
      </c>
      <c r="G25" s="58">
        <v>13312.922469948737</v>
      </c>
      <c r="H25" s="59">
        <v>5722.1824445648735</v>
      </c>
      <c r="I25" s="60">
        <v>14000.401294765839</v>
      </c>
      <c r="J25" s="79">
        <v>5655.6767840593138</v>
      </c>
      <c r="K25" s="59">
        <v>9835.3878202859578</v>
      </c>
      <c r="L25" s="59">
        <v>13939.56000926784</v>
      </c>
      <c r="M25" s="60">
        <v>12571.493057633779</v>
      </c>
      <c r="N25" s="61"/>
    </row>
    <row r="26" spans="1:14" x14ac:dyDescent="0.3">
      <c r="A26" s="57" t="s">
        <v>64</v>
      </c>
      <c r="B26" s="58">
        <v>3694.8049854069095</v>
      </c>
      <c r="C26" s="58">
        <v>9115.6629233693056</v>
      </c>
      <c r="D26" s="58">
        <v>4524.8373672427051</v>
      </c>
      <c r="E26" s="58">
        <v>12481.578429301055</v>
      </c>
      <c r="F26" s="58">
        <v>4469.3329443123694</v>
      </c>
      <c r="G26" s="58">
        <v>12335.135119948129</v>
      </c>
      <c r="H26" s="59">
        <v>5139.3200295639326</v>
      </c>
      <c r="I26" s="60">
        <v>13342.78640059128</v>
      </c>
      <c r="J26" s="79">
        <v>5296.1176470588243</v>
      </c>
      <c r="K26" s="59">
        <v>9835.3878202859578</v>
      </c>
      <c r="L26" s="59">
        <v>13345.055767761653</v>
      </c>
      <c r="M26" s="60">
        <v>12571.493057633779</v>
      </c>
      <c r="N26" s="61"/>
    </row>
    <row r="27" spans="1:14" x14ac:dyDescent="0.3">
      <c r="A27" s="57" t="s">
        <v>65</v>
      </c>
      <c r="B27" s="58">
        <v>9531.0024996987613</v>
      </c>
      <c r="C27" s="58">
        <v>9778.688709844806</v>
      </c>
      <c r="D27" s="58">
        <v>9044.7195022249634</v>
      </c>
      <c r="E27" s="58">
        <v>9304.6874948673885</v>
      </c>
      <c r="F27" s="58">
        <v>9466.7186119051239</v>
      </c>
      <c r="G27" s="58">
        <v>9710.8621884451695</v>
      </c>
      <c r="H27" s="59">
        <v>9603.1964452289321</v>
      </c>
      <c r="I27" s="60">
        <v>9867.0965831969479</v>
      </c>
      <c r="J27" s="79">
        <v>10296.416421305275</v>
      </c>
      <c r="K27" s="59">
        <v>9835.3878202859578</v>
      </c>
      <c r="L27" s="59">
        <v>10559.569083627535</v>
      </c>
      <c r="M27" s="60">
        <v>12571.493057633779</v>
      </c>
      <c r="N27" s="61"/>
    </row>
    <row r="28" spans="1:14" x14ac:dyDescent="0.3">
      <c r="A28" s="57" t="s">
        <v>66</v>
      </c>
      <c r="B28" s="58">
        <v>11913.890461144831</v>
      </c>
      <c r="C28" s="58">
        <v>12154.602411621114</v>
      </c>
      <c r="D28" s="58">
        <v>12082.804333324268</v>
      </c>
      <c r="E28" s="58">
        <v>12338.492774840684</v>
      </c>
      <c r="F28" s="58">
        <v>12739.149796937663</v>
      </c>
      <c r="G28" s="58">
        <v>12973.627479513856</v>
      </c>
      <c r="H28" s="59">
        <v>13814.39241500527</v>
      </c>
      <c r="I28" s="60">
        <v>14192.881133294528</v>
      </c>
      <c r="J28" s="79">
        <v>15028.341714212034</v>
      </c>
      <c r="K28" s="59">
        <v>9835.3878202859578</v>
      </c>
      <c r="L28" s="59">
        <v>15294.034552213949</v>
      </c>
      <c r="M28" s="60">
        <v>12571.493057633779</v>
      </c>
      <c r="N28" s="61"/>
    </row>
    <row r="29" spans="1:14" x14ac:dyDescent="0.3">
      <c r="A29" s="57" t="s">
        <v>67</v>
      </c>
      <c r="B29" s="58">
        <v>8779.8481810973881</v>
      </c>
      <c r="C29" s="58">
        <v>9030.2048425374032</v>
      </c>
      <c r="D29" s="58">
        <v>8073.4088941802556</v>
      </c>
      <c r="E29" s="58">
        <v>8429.0751287439452</v>
      </c>
      <c r="F29" s="58">
        <v>8192.2911881606178</v>
      </c>
      <c r="G29" s="58">
        <v>8764.3953616377894</v>
      </c>
      <c r="H29" s="59">
        <v>7967.5196451032634</v>
      </c>
      <c r="I29" s="60">
        <v>9205.097583077486</v>
      </c>
      <c r="J29" s="79">
        <v>7701.1347336753606</v>
      </c>
      <c r="K29" s="59">
        <v>9835.3878202859578</v>
      </c>
      <c r="L29" s="59">
        <v>9812.1866018426499</v>
      </c>
      <c r="M29" s="60">
        <v>12571.493057633779</v>
      </c>
      <c r="N29" s="61"/>
    </row>
    <row r="30" spans="1:14" x14ac:dyDescent="0.3">
      <c r="A30" s="57" t="s">
        <v>68</v>
      </c>
      <c r="B30" s="58">
        <v>6990.3869799940439</v>
      </c>
      <c r="C30" s="58">
        <v>9563.4484375000011</v>
      </c>
      <c r="D30" s="58">
        <v>6978.3333950972801</v>
      </c>
      <c r="E30" s="58">
        <v>8405.0179232290884</v>
      </c>
      <c r="F30" s="58">
        <v>8044.3015320728045</v>
      </c>
      <c r="G30" s="58">
        <v>9669.2933276954536</v>
      </c>
      <c r="H30" s="59">
        <v>7522.7423384835038</v>
      </c>
      <c r="I30" s="60">
        <v>9643.0013767783385</v>
      </c>
      <c r="J30" s="79">
        <v>7858.4717010229779</v>
      </c>
      <c r="K30" s="59">
        <v>9835.3878202859578</v>
      </c>
      <c r="L30" s="59">
        <v>9837.4697990027234</v>
      </c>
      <c r="M30" s="60">
        <v>12571.493057633779</v>
      </c>
      <c r="N30" s="61"/>
    </row>
    <row r="31" spans="1:14" x14ac:dyDescent="0.3">
      <c r="A31" s="57" t="s">
        <v>69</v>
      </c>
      <c r="B31" s="58">
        <v>8635.3714114565228</v>
      </c>
      <c r="C31" s="58">
        <v>10061.361496791676</v>
      </c>
      <c r="D31" s="58">
        <v>8007.0800992006389</v>
      </c>
      <c r="E31" s="58">
        <v>8403.0569717396938</v>
      </c>
      <c r="F31" s="58">
        <v>8344.3026111666568</v>
      </c>
      <c r="G31" s="58">
        <v>8745.4629542703769</v>
      </c>
      <c r="H31" s="59">
        <v>8779.2348418336114</v>
      </c>
      <c r="I31" s="60">
        <v>9542.9882672200492</v>
      </c>
      <c r="J31" s="79">
        <v>9231.8291013528033</v>
      </c>
      <c r="K31" s="59">
        <v>9835.3878202859578</v>
      </c>
      <c r="L31" s="59">
        <v>9568.2849742323397</v>
      </c>
      <c r="M31" s="60">
        <v>12571.493057633779</v>
      </c>
      <c r="N31" s="61"/>
    </row>
    <row r="32" spans="1:14" x14ac:dyDescent="0.3">
      <c r="A32" s="57" t="s">
        <v>70</v>
      </c>
      <c r="B32" s="58">
        <v>12919.319995590662</v>
      </c>
      <c r="C32" s="58">
        <v>13174.655959368682</v>
      </c>
      <c r="D32" s="58">
        <v>12213.480379748265</v>
      </c>
      <c r="E32" s="58">
        <v>12486.784843785705</v>
      </c>
      <c r="F32" s="58">
        <v>11809.590373467005</v>
      </c>
      <c r="G32" s="58">
        <v>12040.9411243226</v>
      </c>
      <c r="H32" s="59">
        <v>12138.817332904997</v>
      </c>
      <c r="I32" s="60">
        <v>12403.41795047714</v>
      </c>
      <c r="J32" s="79">
        <v>13006.403628469532</v>
      </c>
      <c r="K32" s="59">
        <v>9835.3878202859578</v>
      </c>
      <c r="L32" s="59">
        <v>13270.770314157236</v>
      </c>
      <c r="M32" s="60">
        <v>12571.493057633779</v>
      </c>
      <c r="N32" s="61"/>
    </row>
    <row r="33" spans="1:14" x14ac:dyDescent="0.3">
      <c r="A33" s="57" t="s">
        <v>71</v>
      </c>
      <c r="B33" s="58">
        <v>29686.236858819477</v>
      </c>
      <c r="C33" s="58">
        <v>32069.115698998972</v>
      </c>
      <c r="D33" s="58">
        <v>30558.341837590546</v>
      </c>
      <c r="E33" s="58">
        <v>30822.238139534886</v>
      </c>
      <c r="F33" s="58">
        <v>33144.098043478254</v>
      </c>
      <c r="G33" s="58">
        <v>33408.011086956511</v>
      </c>
      <c r="H33" s="59">
        <v>30466.818486448428</v>
      </c>
      <c r="I33" s="60">
        <v>30730.704442097845</v>
      </c>
      <c r="J33" s="79">
        <v>34037.415674603173</v>
      </c>
      <c r="K33" s="59">
        <v>9835.3878202859578</v>
      </c>
      <c r="L33" s="59">
        <v>34301.304563492056</v>
      </c>
      <c r="M33" s="60">
        <v>12571.493057633779</v>
      </c>
      <c r="N33" s="61"/>
    </row>
    <row r="34" spans="1:14" s="69" customFormat="1" ht="13.8" thickBot="1" x14ac:dyDescent="0.35">
      <c r="A34" s="64" t="s">
        <v>72</v>
      </c>
      <c r="B34" s="65">
        <v>8464.2320653703391</v>
      </c>
      <c r="C34" s="65">
        <v>10069.818578092658</v>
      </c>
      <c r="D34" s="65">
        <v>8475.8736466704213</v>
      </c>
      <c r="E34" s="65">
        <v>11224.815130935069</v>
      </c>
      <c r="F34" s="65">
        <v>8836.4395427391755</v>
      </c>
      <c r="G34" s="65">
        <v>11479.892468609632</v>
      </c>
      <c r="H34" s="66">
        <v>9244.4965523504325</v>
      </c>
      <c r="I34" s="67">
        <v>12168.421224571259</v>
      </c>
      <c r="J34" s="80">
        <v>9835.3878202859578</v>
      </c>
      <c r="K34" s="66">
        <v>9835.3878202859578</v>
      </c>
      <c r="L34" s="66">
        <v>12571.493057633779</v>
      </c>
      <c r="M34" s="67">
        <v>12571.493057633779</v>
      </c>
      <c r="N34" s="68"/>
    </row>
    <row r="35" spans="1:14" s="74" customFormat="1" ht="13.8" thickTop="1" x14ac:dyDescent="0.3">
      <c r="A35" s="70"/>
      <c r="B35" s="71"/>
      <c r="C35" s="71"/>
      <c r="D35" s="71"/>
      <c r="E35" s="71"/>
      <c r="F35" s="71"/>
      <c r="G35" s="71"/>
      <c r="H35" s="72"/>
      <c r="I35" s="72"/>
      <c r="J35" s="72"/>
      <c r="K35" s="72"/>
      <c r="L35" s="72"/>
      <c r="M35" s="72"/>
      <c r="N35" s="73"/>
    </row>
    <row r="36" spans="1:14" x14ac:dyDescent="0.3">
      <c r="H36" s="72"/>
      <c r="I36" s="72"/>
      <c r="J36" s="72"/>
      <c r="K36" s="72"/>
      <c r="L36" s="72"/>
      <c r="M36" s="72"/>
      <c r="N36" s="75"/>
    </row>
    <row r="37" spans="1:14" x14ac:dyDescent="0.3">
      <c r="A37" s="63"/>
      <c r="B37" s="63"/>
      <c r="C37" s="63"/>
      <c r="D37" s="63"/>
      <c r="E37" s="63"/>
      <c r="F37" s="63"/>
      <c r="G37" s="63"/>
      <c r="H37" s="72"/>
      <c r="I37" s="72"/>
      <c r="J37" s="72"/>
      <c r="K37" s="72"/>
      <c r="L37" s="72"/>
      <c r="M37" s="72"/>
      <c r="N37" s="75"/>
    </row>
    <row r="38" spans="1:14" x14ac:dyDescent="0.3">
      <c r="A38" s="63"/>
      <c r="B38" s="63"/>
      <c r="C38" s="63"/>
      <c r="D38" s="63"/>
      <c r="E38" s="63"/>
      <c r="F38" s="63"/>
      <c r="G38" s="63"/>
      <c r="H38" s="72"/>
      <c r="I38" s="72"/>
      <c r="J38" s="72"/>
      <c r="K38" s="72"/>
      <c r="L38" s="72"/>
      <c r="M38" s="72"/>
      <c r="N38" s="75"/>
    </row>
    <row r="39" spans="1:14" x14ac:dyDescent="0.3">
      <c r="A39" s="63"/>
      <c r="B39" s="63"/>
      <c r="C39" s="63"/>
      <c r="D39" s="63"/>
      <c r="E39" s="63"/>
      <c r="F39" s="63"/>
      <c r="G39" s="63"/>
      <c r="H39" s="72"/>
      <c r="I39" s="72"/>
      <c r="J39" s="72"/>
      <c r="K39" s="72"/>
      <c r="L39" s="72"/>
      <c r="M39" s="72"/>
      <c r="N39" s="75"/>
    </row>
    <row r="40" spans="1:14" x14ac:dyDescent="0.3">
      <c r="A40" s="63"/>
      <c r="B40" s="63"/>
      <c r="C40" s="63"/>
      <c r="D40" s="63"/>
      <c r="E40" s="63"/>
      <c r="F40" s="63"/>
      <c r="G40" s="63"/>
      <c r="H40" s="72"/>
      <c r="I40" s="72"/>
      <c r="J40" s="72"/>
      <c r="K40" s="72"/>
      <c r="L40" s="72"/>
      <c r="M40" s="72"/>
      <c r="N40" s="75"/>
    </row>
    <row r="41" spans="1:14" x14ac:dyDescent="0.3">
      <c r="A41" s="63"/>
      <c r="B41" s="63"/>
      <c r="C41" s="63"/>
      <c r="D41" s="63"/>
      <c r="E41" s="63"/>
      <c r="F41" s="63"/>
      <c r="G41" s="63"/>
      <c r="H41" s="72"/>
      <c r="I41" s="72"/>
      <c r="J41" s="72"/>
      <c r="K41" s="72"/>
      <c r="L41" s="72"/>
      <c r="M41" s="72"/>
      <c r="N41" s="75"/>
    </row>
    <row r="42" spans="1:14" x14ac:dyDescent="0.3">
      <c r="A42" s="63"/>
      <c r="B42" s="63"/>
      <c r="C42" s="63"/>
      <c r="D42" s="63"/>
      <c r="E42" s="63"/>
      <c r="F42" s="63"/>
      <c r="G42" s="63"/>
      <c r="H42" s="72"/>
      <c r="I42" s="72"/>
      <c r="J42" s="72"/>
      <c r="K42" s="72"/>
      <c r="L42" s="72"/>
      <c r="M42" s="72"/>
      <c r="N42" s="75"/>
    </row>
    <row r="43" spans="1:14" x14ac:dyDescent="0.3">
      <c r="A43" s="63"/>
      <c r="B43" s="63"/>
      <c r="C43" s="63"/>
      <c r="D43" s="63"/>
      <c r="E43" s="63"/>
      <c r="F43" s="63"/>
      <c r="G43" s="63"/>
      <c r="H43" s="72"/>
      <c r="I43" s="72"/>
      <c r="J43" s="72"/>
      <c r="K43" s="72"/>
      <c r="L43" s="72"/>
      <c r="M43" s="72"/>
      <c r="N43" s="75"/>
    </row>
    <row r="44" spans="1:14" x14ac:dyDescent="0.3">
      <c r="A44" s="63"/>
      <c r="B44" s="63"/>
      <c r="C44" s="63"/>
      <c r="D44" s="63"/>
      <c r="E44" s="63"/>
      <c r="F44" s="63"/>
      <c r="G44" s="63"/>
      <c r="H44" s="72"/>
      <c r="I44" s="72"/>
      <c r="J44" s="72"/>
      <c r="K44" s="72"/>
      <c r="L44" s="72"/>
      <c r="M44" s="72"/>
      <c r="N44" s="75"/>
    </row>
    <row r="45" spans="1:14" x14ac:dyDescent="0.3">
      <c r="A45" s="63"/>
      <c r="B45" s="63"/>
      <c r="C45" s="63"/>
      <c r="D45" s="63"/>
      <c r="E45" s="63"/>
      <c r="F45" s="63"/>
      <c r="G45" s="63"/>
      <c r="H45" s="72"/>
      <c r="I45" s="72"/>
      <c r="J45" s="72"/>
      <c r="K45" s="72"/>
      <c r="L45" s="72"/>
      <c r="M45" s="72"/>
      <c r="N45" s="75"/>
    </row>
    <row r="46" spans="1:14" x14ac:dyDescent="0.3">
      <c r="A46" s="63"/>
      <c r="B46" s="63"/>
      <c r="C46" s="63"/>
      <c r="D46" s="63"/>
      <c r="E46" s="63"/>
      <c r="F46" s="63"/>
      <c r="G46" s="63"/>
      <c r="H46" s="72"/>
      <c r="I46" s="72"/>
      <c r="J46" s="72"/>
      <c r="K46" s="72"/>
      <c r="L46" s="72"/>
      <c r="M46" s="72"/>
      <c r="N46" s="75"/>
    </row>
    <row r="47" spans="1:14" x14ac:dyDescent="0.3">
      <c r="A47" s="63"/>
      <c r="B47" s="63"/>
      <c r="C47" s="63"/>
      <c r="D47" s="63"/>
      <c r="E47" s="63"/>
      <c r="F47" s="63"/>
      <c r="G47" s="63"/>
      <c r="H47" s="72"/>
      <c r="I47" s="72"/>
      <c r="J47" s="72"/>
      <c r="K47" s="72"/>
      <c r="L47" s="72"/>
      <c r="M47" s="72"/>
      <c r="N47" s="75"/>
    </row>
    <row r="48" spans="1:14" x14ac:dyDescent="0.3">
      <c r="A48" s="63"/>
      <c r="B48" s="63"/>
      <c r="C48" s="63"/>
      <c r="D48" s="63"/>
      <c r="E48" s="63"/>
      <c r="F48" s="63"/>
      <c r="G48" s="63"/>
      <c r="H48" s="72"/>
      <c r="I48" s="72"/>
      <c r="J48" s="72"/>
      <c r="K48" s="72"/>
      <c r="L48" s="72"/>
      <c r="M48" s="72"/>
      <c r="N48" s="75"/>
    </row>
    <row r="49" spans="1:14" x14ac:dyDescent="0.3">
      <c r="A49" s="63"/>
      <c r="B49" s="63"/>
      <c r="C49" s="63"/>
      <c r="D49" s="63"/>
      <c r="E49" s="63"/>
      <c r="F49" s="63"/>
      <c r="G49" s="63"/>
      <c r="H49" s="72"/>
      <c r="I49" s="72"/>
      <c r="J49" s="72"/>
      <c r="K49" s="72"/>
      <c r="L49" s="72"/>
      <c r="M49" s="72"/>
      <c r="N49" s="75"/>
    </row>
    <row r="50" spans="1:14" x14ac:dyDescent="0.3">
      <c r="A50" s="63"/>
      <c r="B50" s="63"/>
      <c r="C50" s="63"/>
      <c r="D50" s="63"/>
      <c r="E50" s="63"/>
      <c r="F50" s="63"/>
      <c r="G50" s="63"/>
      <c r="H50" s="72"/>
      <c r="I50" s="72"/>
      <c r="J50" s="72"/>
      <c r="K50" s="72"/>
      <c r="L50" s="72"/>
      <c r="M50" s="72"/>
      <c r="N50" s="75"/>
    </row>
    <row r="51" spans="1:14" x14ac:dyDescent="0.3">
      <c r="A51" s="63"/>
      <c r="B51" s="63"/>
      <c r="C51" s="63"/>
      <c r="D51" s="63"/>
      <c r="E51" s="63"/>
      <c r="F51" s="63"/>
      <c r="G51" s="63"/>
      <c r="H51" s="72"/>
      <c r="I51" s="72"/>
      <c r="J51" s="72"/>
      <c r="K51" s="72"/>
      <c r="L51" s="72"/>
      <c r="M51" s="72"/>
      <c r="N51" s="75"/>
    </row>
    <row r="52" spans="1:14" x14ac:dyDescent="0.3">
      <c r="A52" s="63"/>
      <c r="B52" s="63"/>
      <c r="C52" s="63"/>
      <c r="D52" s="63"/>
      <c r="E52" s="63"/>
      <c r="F52" s="63"/>
      <c r="G52" s="63"/>
      <c r="H52" s="72"/>
      <c r="I52" s="72"/>
      <c r="J52" s="72"/>
      <c r="K52" s="72"/>
      <c r="L52" s="72"/>
      <c r="M52" s="72"/>
      <c r="N52" s="75"/>
    </row>
    <row r="53" spans="1:14" x14ac:dyDescent="0.3">
      <c r="A53" s="63"/>
      <c r="B53" s="63"/>
      <c r="C53" s="63"/>
      <c r="D53" s="63"/>
      <c r="E53" s="63"/>
      <c r="F53" s="63"/>
      <c r="G53" s="63"/>
      <c r="H53" s="72"/>
      <c r="I53" s="72"/>
      <c r="J53" s="72"/>
      <c r="K53" s="72"/>
      <c r="L53" s="72"/>
      <c r="M53" s="72"/>
      <c r="N53" s="75"/>
    </row>
    <row r="54" spans="1:14" x14ac:dyDescent="0.3">
      <c r="A54" s="63"/>
      <c r="B54" s="63"/>
      <c r="C54" s="63"/>
      <c r="D54" s="63"/>
      <c r="E54" s="63"/>
      <c r="F54" s="63"/>
      <c r="G54" s="63"/>
      <c r="H54" s="72"/>
      <c r="I54" s="72"/>
      <c r="J54" s="72"/>
      <c r="K54" s="72"/>
      <c r="L54" s="72"/>
      <c r="M54" s="72"/>
      <c r="N54" s="75"/>
    </row>
    <row r="55" spans="1:14" x14ac:dyDescent="0.3">
      <c r="A55" s="63"/>
      <c r="B55" s="63"/>
      <c r="C55" s="63"/>
      <c r="D55" s="63"/>
      <c r="E55" s="63"/>
      <c r="F55" s="63"/>
      <c r="G55" s="63"/>
      <c r="H55" s="72"/>
      <c r="I55" s="72"/>
      <c r="J55" s="72"/>
      <c r="K55" s="72"/>
      <c r="L55" s="72"/>
      <c r="M55" s="72"/>
      <c r="N55" s="75"/>
    </row>
    <row r="56" spans="1:14" x14ac:dyDescent="0.3">
      <c r="A56" s="63"/>
      <c r="B56" s="63"/>
      <c r="C56" s="63"/>
      <c r="D56" s="63"/>
      <c r="E56" s="63"/>
      <c r="F56" s="63"/>
      <c r="G56" s="63"/>
      <c r="H56" s="72"/>
      <c r="I56" s="72"/>
      <c r="J56" s="72"/>
      <c r="K56" s="72"/>
      <c r="L56" s="72"/>
      <c r="M56" s="72"/>
      <c r="N56" s="75"/>
    </row>
    <row r="57" spans="1:14" x14ac:dyDescent="0.3">
      <c r="A57" s="63"/>
      <c r="B57" s="63"/>
      <c r="C57" s="63"/>
      <c r="D57" s="63"/>
      <c r="E57" s="63"/>
      <c r="F57" s="63"/>
      <c r="G57" s="63"/>
      <c r="H57" s="72"/>
      <c r="I57" s="72"/>
      <c r="J57" s="72"/>
      <c r="K57" s="72"/>
      <c r="L57" s="72"/>
      <c r="M57" s="72"/>
      <c r="N57" s="75"/>
    </row>
    <row r="58" spans="1:14" x14ac:dyDescent="0.3">
      <c r="A58" s="63"/>
      <c r="B58" s="63"/>
      <c r="C58" s="63"/>
      <c r="D58" s="63"/>
      <c r="E58" s="63"/>
      <c r="F58" s="63"/>
      <c r="G58" s="63"/>
      <c r="H58" s="72"/>
      <c r="I58" s="72"/>
      <c r="J58" s="72"/>
      <c r="K58" s="72"/>
      <c r="L58" s="72"/>
      <c r="M58" s="72"/>
      <c r="N58" s="75"/>
    </row>
    <row r="59" spans="1:14" x14ac:dyDescent="0.3">
      <c r="A59" s="63"/>
      <c r="B59" s="63"/>
      <c r="C59" s="63"/>
      <c r="D59" s="63"/>
      <c r="E59" s="63"/>
      <c r="F59" s="63"/>
      <c r="G59" s="63"/>
      <c r="H59" s="72"/>
      <c r="I59" s="72"/>
      <c r="J59" s="72"/>
      <c r="K59" s="72"/>
      <c r="L59" s="72"/>
      <c r="M59" s="72"/>
      <c r="N59" s="75"/>
    </row>
    <row r="60" spans="1:14" x14ac:dyDescent="0.3">
      <c r="A60" s="63"/>
      <c r="B60" s="63"/>
      <c r="C60" s="63"/>
      <c r="D60" s="63"/>
      <c r="E60" s="63"/>
      <c r="F60" s="63"/>
      <c r="G60" s="63"/>
      <c r="H60" s="72"/>
      <c r="I60" s="72"/>
      <c r="J60" s="72"/>
      <c r="K60" s="72"/>
      <c r="L60" s="72"/>
      <c r="M60" s="72"/>
      <c r="N60" s="75"/>
    </row>
    <row r="61" spans="1:14" x14ac:dyDescent="0.3">
      <c r="A61" s="63"/>
      <c r="B61" s="63"/>
      <c r="C61" s="63"/>
      <c r="D61" s="63"/>
      <c r="E61" s="63"/>
      <c r="F61" s="63"/>
      <c r="G61" s="63"/>
      <c r="H61" s="72"/>
      <c r="I61" s="72"/>
      <c r="J61" s="72"/>
      <c r="K61" s="72"/>
      <c r="L61" s="72"/>
      <c r="M61" s="72"/>
      <c r="N61" s="75"/>
    </row>
    <row r="62" spans="1:14" x14ac:dyDescent="0.3">
      <c r="A62" s="63"/>
      <c r="B62" s="63"/>
      <c r="C62" s="63"/>
      <c r="D62" s="63"/>
      <c r="E62" s="63"/>
      <c r="F62" s="63"/>
      <c r="G62" s="63"/>
      <c r="H62" s="72"/>
      <c r="I62" s="72"/>
      <c r="J62" s="72"/>
      <c r="K62" s="72"/>
      <c r="L62" s="72"/>
      <c r="M62" s="72"/>
      <c r="N62" s="75"/>
    </row>
    <row r="63" spans="1:14" x14ac:dyDescent="0.3">
      <c r="A63" s="63"/>
      <c r="B63" s="63"/>
      <c r="C63" s="63"/>
      <c r="D63" s="63"/>
      <c r="E63" s="63"/>
      <c r="F63" s="63"/>
      <c r="G63" s="63"/>
      <c r="H63" s="72"/>
      <c r="I63" s="72"/>
      <c r="J63" s="72"/>
      <c r="K63" s="72"/>
      <c r="L63" s="72"/>
      <c r="M63" s="72"/>
      <c r="N63" s="75"/>
    </row>
    <row r="64" spans="1:14" x14ac:dyDescent="0.3">
      <c r="A64" s="63"/>
      <c r="B64" s="63"/>
      <c r="C64" s="63"/>
      <c r="D64" s="63"/>
      <c r="E64" s="63"/>
      <c r="F64" s="63"/>
      <c r="G64" s="63"/>
      <c r="H64" s="72"/>
      <c r="I64" s="72"/>
      <c r="J64" s="72"/>
      <c r="K64" s="72"/>
      <c r="L64" s="72"/>
      <c r="M64" s="72"/>
      <c r="N64" s="75"/>
    </row>
    <row r="65" spans="1:14" x14ac:dyDescent="0.3">
      <c r="A65" s="63"/>
      <c r="B65" s="63"/>
      <c r="C65" s="63"/>
      <c r="D65" s="63"/>
      <c r="E65" s="63"/>
      <c r="F65" s="63"/>
      <c r="G65" s="63"/>
      <c r="H65" s="72"/>
      <c r="I65" s="72"/>
      <c r="J65" s="72"/>
      <c r="K65" s="72"/>
      <c r="L65" s="72"/>
      <c r="M65" s="72"/>
      <c r="N65" s="75"/>
    </row>
    <row r="66" spans="1:14" x14ac:dyDescent="0.3">
      <c r="A66" s="63"/>
      <c r="B66" s="63"/>
      <c r="C66" s="63"/>
      <c r="D66" s="63"/>
      <c r="E66" s="63"/>
      <c r="F66" s="63"/>
      <c r="G66" s="63"/>
      <c r="H66" s="72"/>
      <c r="I66" s="72"/>
      <c r="J66" s="72"/>
      <c r="K66" s="72"/>
      <c r="L66" s="72"/>
      <c r="M66" s="72"/>
      <c r="N66" s="75"/>
    </row>
    <row r="67" spans="1:14" x14ac:dyDescent="0.3">
      <c r="A67" s="63"/>
      <c r="B67" s="63"/>
      <c r="C67" s="63"/>
      <c r="D67" s="63"/>
      <c r="E67" s="63"/>
      <c r="F67" s="63"/>
      <c r="G67" s="63"/>
      <c r="H67" s="72"/>
      <c r="I67" s="72"/>
      <c r="J67" s="72"/>
      <c r="K67" s="72"/>
      <c r="L67" s="72"/>
      <c r="M67" s="72"/>
      <c r="N67" s="75"/>
    </row>
    <row r="68" spans="1:14" x14ac:dyDescent="0.3">
      <c r="A68" s="63"/>
      <c r="B68" s="63"/>
      <c r="C68" s="63"/>
      <c r="D68" s="63"/>
      <c r="E68" s="63"/>
      <c r="F68" s="63"/>
      <c r="G68" s="63"/>
      <c r="H68" s="72"/>
      <c r="I68" s="72"/>
      <c r="J68" s="72"/>
      <c r="K68" s="72"/>
      <c r="L68" s="72"/>
      <c r="M68" s="72"/>
      <c r="N68" s="75"/>
    </row>
    <row r="69" spans="1:14" x14ac:dyDescent="0.3">
      <c r="A69" s="63"/>
      <c r="B69" s="63"/>
      <c r="C69" s="63"/>
      <c r="D69" s="63"/>
      <c r="E69" s="63"/>
      <c r="F69" s="63"/>
      <c r="G69" s="63"/>
      <c r="H69" s="72"/>
      <c r="I69" s="72"/>
      <c r="J69" s="72"/>
      <c r="K69" s="72"/>
      <c r="L69" s="72"/>
      <c r="M69" s="72"/>
      <c r="N69" s="75"/>
    </row>
    <row r="70" spans="1:14" x14ac:dyDescent="0.3">
      <c r="A70" s="63"/>
      <c r="B70" s="63"/>
      <c r="C70" s="63"/>
      <c r="D70" s="63"/>
      <c r="E70" s="63"/>
      <c r="F70" s="63"/>
      <c r="G70" s="63"/>
      <c r="H70" s="72"/>
      <c r="I70" s="72"/>
      <c r="J70" s="72"/>
      <c r="K70" s="72"/>
      <c r="L70" s="72"/>
      <c r="M70" s="72"/>
      <c r="N70" s="75"/>
    </row>
    <row r="71" spans="1:14" x14ac:dyDescent="0.3">
      <c r="A71" s="63"/>
      <c r="B71" s="63"/>
      <c r="C71" s="63"/>
      <c r="D71" s="63"/>
      <c r="E71" s="63"/>
      <c r="F71" s="63"/>
      <c r="G71" s="63"/>
      <c r="H71" s="72"/>
      <c r="I71" s="72"/>
      <c r="J71" s="72"/>
      <c r="K71" s="72"/>
      <c r="L71" s="72"/>
      <c r="M71" s="72"/>
      <c r="N71" s="75"/>
    </row>
    <row r="72" spans="1:14" x14ac:dyDescent="0.3">
      <c r="A72" s="63"/>
      <c r="B72" s="63"/>
      <c r="C72" s="63"/>
      <c r="D72" s="63"/>
      <c r="E72" s="63"/>
      <c r="F72" s="63"/>
      <c r="G72" s="63"/>
      <c r="H72" s="72"/>
      <c r="I72" s="72"/>
      <c r="J72" s="72"/>
      <c r="K72" s="72"/>
      <c r="L72" s="72"/>
      <c r="M72" s="72"/>
      <c r="N72" s="75"/>
    </row>
    <row r="73" spans="1:14" x14ac:dyDescent="0.3">
      <c r="A73" s="63"/>
      <c r="B73" s="63"/>
      <c r="C73" s="63"/>
      <c r="D73" s="63"/>
      <c r="E73" s="63"/>
      <c r="F73" s="63"/>
      <c r="G73" s="63"/>
      <c r="H73" s="72"/>
      <c r="I73" s="72"/>
      <c r="J73" s="72"/>
      <c r="K73" s="72"/>
      <c r="L73" s="72"/>
      <c r="M73" s="72"/>
      <c r="N73" s="75"/>
    </row>
    <row r="74" spans="1:14" x14ac:dyDescent="0.3">
      <c r="A74" s="63"/>
      <c r="B74" s="63"/>
      <c r="C74" s="63"/>
      <c r="D74" s="63"/>
      <c r="E74" s="63"/>
      <c r="F74" s="63"/>
      <c r="G74" s="63"/>
      <c r="H74" s="72"/>
      <c r="I74" s="72"/>
      <c r="J74" s="72"/>
      <c r="K74" s="72"/>
      <c r="L74" s="72"/>
      <c r="M74" s="72"/>
      <c r="N74" s="75"/>
    </row>
    <row r="75" spans="1:14" x14ac:dyDescent="0.3">
      <c r="A75" s="63"/>
      <c r="B75" s="63"/>
      <c r="C75" s="63"/>
      <c r="D75" s="63"/>
      <c r="E75" s="63"/>
      <c r="F75" s="63"/>
      <c r="G75" s="63"/>
      <c r="H75" s="72"/>
      <c r="I75" s="72"/>
      <c r="J75" s="72"/>
      <c r="K75" s="72"/>
      <c r="L75" s="72"/>
      <c r="M75" s="72"/>
      <c r="N75" s="75"/>
    </row>
    <row r="76" spans="1:14" x14ac:dyDescent="0.3">
      <c r="A76" s="63"/>
      <c r="B76" s="63"/>
      <c r="C76" s="63"/>
      <c r="D76" s="63"/>
      <c r="E76" s="63"/>
      <c r="F76" s="63"/>
      <c r="G76" s="63"/>
      <c r="H76" s="72"/>
      <c r="I76" s="72"/>
      <c r="J76" s="72"/>
      <c r="K76" s="72"/>
      <c r="L76" s="72"/>
      <c r="M76" s="72"/>
      <c r="N76" s="75"/>
    </row>
    <row r="77" spans="1:14" x14ac:dyDescent="0.3">
      <c r="A77" s="63"/>
      <c r="B77" s="63"/>
      <c r="C77" s="63"/>
      <c r="D77" s="63"/>
      <c r="E77" s="63"/>
      <c r="F77" s="63"/>
      <c r="G77" s="63"/>
      <c r="H77" s="72"/>
      <c r="I77" s="72"/>
      <c r="J77" s="72"/>
      <c r="K77" s="72"/>
      <c r="L77" s="72"/>
      <c r="M77" s="72"/>
      <c r="N77" s="75"/>
    </row>
    <row r="78" spans="1:14" x14ac:dyDescent="0.3">
      <c r="A78" s="63"/>
      <c r="B78" s="63"/>
      <c r="C78" s="63"/>
      <c r="D78" s="63"/>
      <c r="E78" s="63"/>
      <c r="F78" s="63"/>
      <c r="G78" s="63"/>
      <c r="H78" s="72"/>
      <c r="I78" s="72"/>
      <c r="J78" s="72"/>
      <c r="K78" s="72"/>
      <c r="L78" s="72"/>
      <c r="M78" s="72"/>
      <c r="N78" s="75"/>
    </row>
    <row r="79" spans="1:14" x14ac:dyDescent="0.3">
      <c r="A79" s="63"/>
      <c r="B79" s="63"/>
      <c r="C79" s="63"/>
      <c r="D79" s="63"/>
      <c r="E79" s="63"/>
      <c r="F79" s="63"/>
      <c r="G79" s="63"/>
      <c r="H79" s="72"/>
      <c r="I79" s="72"/>
      <c r="J79" s="72"/>
      <c r="K79" s="72"/>
      <c r="L79" s="72"/>
      <c r="M79" s="72"/>
      <c r="N79" s="75"/>
    </row>
    <row r="80" spans="1:14" x14ac:dyDescent="0.3">
      <c r="A80" s="63"/>
      <c r="B80" s="63"/>
      <c r="C80" s="63"/>
      <c r="D80" s="63"/>
      <c r="E80" s="63"/>
      <c r="F80" s="63"/>
      <c r="G80" s="63"/>
      <c r="H80" s="72"/>
      <c r="I80" s="72"/>
      <c r="J80" s="72"/>
      <c r="K80" s="72"/>
      <c r="L80" s="72"/>
      <c r="M80" s="72"/>
      <c r="N80" s="75"/>
    </row>
    <row r="81" spans="1:14" x14ac:dyDescent="0.3">
      <c r="A81" s="63"/>
      <c r="B81" s="63"/>
      <c r="C81" s="63"/>
      <c r="D81" s="63"/>
      <c r="E81" s="63"/>
      <c r="F81" s="63"/>
      <c r="G81" s="63"/>
      <c r="H81" s="72"/>
      <c r="I81" s="72"/>
      <c r="J81" s="72"/>
      <c r="K81" s="72"/>
      <c r="L81" s="72"/>
      <c r="M81" s="72"/>
      <c r="N81" s="75"/>
    </row>
    <row r="82" spans="1:14" x14ac:dyDescent="0.3">
      <c r="A82" s="63"/>
      <c r="B82" s="63"/>
      <c r="C82" s="63"/>
      <c r="D82" s="63"/>
      <c r="E82" s="63"/>
      <c r="F82" s="63"/>
      <c r="G82" s="63"/>
      <c r="H82" s="72"/>
      <c r="I82" s="72"/>
      <c r="J82" s="72"/>
      <c r="K82" s="72"/>
      <c r="L82" s="72"/>
      <c r="M82" s="72"/>
      <c r="N82" s="75"/>
    </row>
    <row r="83" spans="1:14" x14ac:dyDescent="0.3">
      <c r="A83" s="63"/>
      <c r="B83" s="63"/>
      <c r="C83" s="63"/>
      <c r="D83" s="63"/>
      <c r="E83" s="63"/>
      <c r="F83" s="63"/>
      <c r="G83" s="63"/>
      <c r="H83" s="72"/>
      <c r="I83" s="72"/>
      <c r="J83" s="72"/>
      <c r="K83" s="72"/>
      <c r="L83" s="72"/>
      <c r="M83" s="72"/>
      <c r="N83" s="75"/>
    </row>
    <row r="84" spans="1:14" x14ac:dyDescent="0.3">
      <c r="A84" s="63"/>
      <c r="B84" s="63"/>
      <c r="C84" s="63"/>
      <c r="D84" s="63"/>
      <c r="E84" s="63"/>
      <c r="F84" s="63"/>
      <c r="G84" s="63"/>
      <c r="H84" s="72"/>
      <c r="I84" s="72"/>
      <c r="J84" s="72"/>
      <c r="K84" s="72"/>
      <c r="L84" s="72"/>
      <c r="M84" s="72"/>
      <c r="N84" s="75"/>
    </row>
    <row r="85" spans="1:14" x14ac:dyDescent="0.3">
      <c r="A85" s="63"/>
      <c r="B85" s="63"/>
      <c r="C85" s="63"/>
      <c r="D85" s="63"/>
      <c r="E85" s="63"/>
      <c r="F85" s="63"/>
      <c r="G85" s="63"/>
      <c r="H85" s="72"/>
      <c r="I85" s="72"/>
      <c r="J85" s="72"/>
      <c r="K85" s="72"/>
      <c r="L85" s="72"/>
      <c r="M85" s="72"/>
      <c r="N85" s="75"/>
    </row>
    <row r="86" spans="1:14" x14ac:dyDescent="0.3">
      <c r="A86" s="63"/>
      <c r="B86" s="63"/>
      <c r="C86" s="63"/>
      <c r="D86" s="63"/>
      <c r="E86" s="63"/>
      <c r="F86" s="63"/>
      <c r="G86" s="63"/>
      <c r="H86" s="72"/>
      <c r="I86" s="72"/>
      <c r="J86" s="72"/>
      <c r="K86" s="72"/>
      <c r="L86" s="72"/>
      <c r="M86" s="72"/>
      <c r="N86" s="75"/>
    </row>
    <row r="87" spans="1:14" x14ac:dyDescent="0.3">
      <c r="A87" s="63"/>
      <c r="B87" s="63"/>
      <c r="C87" s="63"/>
      <c r="D87" s="63"/>
      <c r="E87" s="63"/>
      <c r="F87" s="63"/>
      <c r="G87" s="63"/>
      <c r="H87" s="72"/>
      <c r="I87" s="72"/>
      <c r="J87" s="72"/>
      <c r="K87" s="72"/>
      <c r="L87" s="72"/>
      <c r="M87" s="72"/>
      <c r="N87" s="75"/>
    </row>
    <row r="88" spans="1:14" x14ac:dyDescent="0.3">
      <c r="A88" s="63"/>
      <c r="B88" s="63"/>
      <c r="C88" s="63"/>
      <c r="D88" s="63"/>
      <c r="E88" s="63"/>
      <c r="F88" s="63"/>
      <c r="G88" s="63"/>
      <c r="H88" s="72"/>
      <c r="I88" s="72"/>
      <c r="J88" s="72"/>
      <c r="K88" s="72"/>
      <c r="L88" s="72"/>
      <c r="M88" s="72"/>
      <c r="N88" s="75"/>
    </row>
    <row r="89" spans="1:14" x14ac:dyDescent="0.3">
      <c r="A89" s="63"/>
      <c r="B89" s="63"/>
      <c r="C89" s="63"/>
      <c r="D89" s="63"/>
      <c r="E89" s="63"/>
      <c r="F89" s="63"/>
      <c r="G89" s="63"/>
      <c r="H89" s="72"/>
      <c r="I89" s="72"/>
      <c r="J89" s="72"/>
      <c r="K89" s="72"/>
      <c r="L89" s="72"/>
      <c r="M89" s="72"/>
      <c r="N89" s="75"/>
    </row>
    <row r="90" spans="1:14" x14ac:dyDescent="0.3">
      <c r="A90" s="63"/>
      <c r="B90" s="63"/>
      <c r="C90" s="63"/>
      <c r="D90" s="63"/>
      <c r="E90" s="63"/>
      <c r="F90" s="63"/>
      <c r="G90" s="63"/>
      <c r="H90" s="72"/>
      <c r="I90" s="72"/>
      <c r="J90" s="72"/>
      <c r="K90" s="72"/>
      <c r="L90" s="72"/>
      <c r="M90" s="72"/>
      <c r="N90" s="75"/>
    </row>
    <row r="91" spans="1:14" x14ac:dyDescent="0.3">
      <c r="A91" s="63"/>
      <c r="B91" s="63"/>
      <c r="C91" s="63"/>
      <c r="D91" s="63"/>
      <c r="E91" s="63"/>
      <c r="F91" s="63"/>
      <c r="G91" s="63"/>
      <c r="H91" s="72"/>
      <c r="I91" s="72"/>
      <c r="J91" s="72"/>
      <c r="K91" s="72"/>
      <c r="L91" s="72"/>
      <c r="M91" s="72"/>
      <c r="N91" s="75"/>
    </row>
    <row r="92" spans="1:14" x14ac:dyDescent="0.3">
      <c r="A92" s="63"/>
      <c r="B92" s="63"/>
      <c r="C92" s="63"/>
      <c r="D92" s="63"/>
      <c r="E92" s="63"/>
      <c r="F92" s="63"/>
      <c r="G92" s="63"/>
      <c r="H92" s="72"/>
      <c r="I92" s="72"/>
      <c r="J92" s="72"/>
      <c r="K92" s="72"/>
      <c r="L92" s="72"/>
      <c r="M92" s="72"/>
      <c r="N92" s="75"/>
    </row>
    <row r="93" spans="1:14" x14ac:dyDescent="0.3">
      <c r="A93" s="63"/>
      <c r="B93" s="63"/>
      <c r="C93" s="63"/>
      <c r="D93" s="63"/>
      <c r="E93" s="63"/>
      <c r="F93" s="63"/>
      <c r="G93" s="63"/>
      <c r="H93" s="72"/>
      <c r="I93" s="72"/>
      <c r="J93" s="72"/>
      <c r="K93" s="72"/>
      <c r="L93" s="72"/>
      <c r="M93" s="72"/>
      <c r="N93" s="75"/>
    </row>
    <row r="94" spans="1:14" x14ac:dyDescent="0.3">
      <c r="A94" s="63"/>
      <c r="B94" s="63"/>
      <c r="C94" s="63"/>
      <c r="D94" s="63"/>
      <c r="E94" s="63"/>
      <c r="F94" s="63"/>
      <c r="G94" s="63"/>
      <c r="H94" s="72"/>
      <c r="I94" s="72"/>
      <c r="J94" s="72"/>
      <c r="K94" s="72"/>
      <c r="L94" s="72"/>
      <c r="M94" s="72"/>
      <c r="N94" s="75"/>
    </row>
    <row r="95" spans="1:14" x14ac:dyDescent="0.3">
      <c r="A95" s="63"/>
      <c r="B95" s="63"/>
      <c r="C95" s="63"/>
      <c r="D95" s="63"/>
      <c r="E95" s="63"/>
      <c r="F95" s="63"/>
      <c r="G95" s="63"/>
      <c r="H95" s="72"/>
      <c r="I95" s="72"/>
      <c r="J95" s="72"/>
      <c r="K95" s="72"/>
      <c r="L95" s="72"/>
      <c r="M95" s="72"/>
      <c r="N95" s="75"/>
    </row>
    <row r="96" spans="1:14" x14ac:dyDescent="0.3">
      <c r="A96" s="63"/>
      <c r="B96" s="63"/>
      <c r="C96" s="63"/>
      <c r="D96" s="63"/>
      <c r="E96" s="63"/>
      <c r="F96" s="63"/>
      <c r="G96" s="63"/>
      <c r="H96" s="72"/>
      <c r="I96" s="72"/>
      <c r="J96" s="72"/>
      <c r="K96" s="72"/>
      <c r="L96" s="72"/>
      <c r="M96" s="72"/>
      <c r="N96" s="75"/>
    </row>
    <row r="97" spans="1:14" x14ac:dyDescent="0.3">
      <c r="A97" s="63"/>
      <c r="B97" s="63"/>
      <c r="C97" s="63"/>
      <c r="D97" s="63"/>
      <c r="E97" s="63"/>
      <c r="F97" s="63"/>
      <c r="G97" s="63"/>
      <c r="H97" s="72"/>
      <c r="I97" s="72"/>
      <c r="J97" s="72"/>
      <c r="K97" s="72"/>
      <c r="L97" s="72"/>
      <c r="M97" s="72"/>
      <c r="N97" s="75"/>
    </row>
    <row r="98" spans="1:14" x14ac:dyDescent="0.3">
      <c r="A98" s="63"/>
      <c r="B98" s="63"/>
      <c r="C98" s="63"/>
      <c r="D98" s="63"/>
      <c r="E98" s="63"/>
      <c r="F98" s="63"/>
      <c r="G98" s="63"/>
      <c r="H98" s="72"/>
      <c r="I98" s="72"/>
      <c r="J98" s="72"/>
      <c r="K98" s="72"/>
      <c r="L98" s="72"/>
      <c r="M98" s="72"/>
      <c r="N98" s="75"/>
    </row>
    <row r="99" spans="1:14" x14ac:dyDescent="0.3">
      <c r="A99" s="63"/>
      <c r="B99" s="63"/>
      <c r="C99" s="63"/>
      <c r="D99" s="63"/>
      <c r="E99" s="63"/>
      <c r="F99" s="63"/>
      <c r="G99" s="63"/>
      <c r="H99" s="72"/>
      <c r="I99" s="72"/>
      <c r="J99" s="72"/>
      <c r="K99" s="72"/>
      <c r="L99" s="72"/>
      <c r="M99" s="72"/>
      <c r="N99" s="75"/>
    </row>
    <row r="100" spans="1:14" x14ac:dyDescent="0.3">
      <c r="A100" s="63"/>
      <c r="B100" s="63"/>
      <c r="C100" s="63"/>
      <c r="D100" s="63"/>
      <c r="E100" s="63"/>
      <c r="F100" s="63"/>
      <c r="G100" s="63"/>
      <c r="H100" s="72"/>
      <c r="I100" s="72"/>
      <c r="J100" s="72"/>
      <c r="K100" s="72"/>
      <c r="L100" s="72"/>
      <c r="M100" s="72"/>
      <c r="N100" s="75"/>
    </row>
    <row r="101" spans="1:14" x14ac:dyDescent="0.3">
      <c r="A101" s="63"/>
      <c r="B101" s="63"/>
      <c r="C101" s="63"/>
      <c r="D101" s="63"/>
      <c r="E101" s="63"/>
      <c r="F101" s="63"/>
      <c r="G101" s="63"/>
      <c r="H101" s="72"/>
      <c r="I101" s="72"/>
      <c r="J101" s="72"/>
      <c r="K101" s="72"/>
      <c r="L101" s="72"/>
      <c r="M101" s="72"/>
      <c r="N101" s="75"/>
    </row>
    <row r="102" spans="1:14" x14ac:dyDescent="0.3">
      <c r="A102" s="63"/>
      <c r="B102" s="63"/>
      <c r="C102" s="63"/>
      <c r="D102" s="63"/>
      <c r="E102" s="63"/>
      <c r="F102" s="63"/>
      <c r="G102" s="63"/>
      <c r="H102" s="72"/>
      <c r="I102" s="72"/>
      <c r="J102" s="72"/>
      <c r="K102" s="72"/>
      <c r="L102" s="72"/>
      <c r="M102" s="72"/>
      <c r="N102" s="75"/>
    </row>
    <row r="103" spans="1:14" x14ac:dyDescent="0.3">
      <c r="A103" s="63"/>
      <c r="B103" s="63"/>
      <c r="C103" s="63"/>
      <c r="D103" s="63"/>
      <c r="E103" s="63"/>
      <c r="F103" s="63"/>
      <c r="G103" s="63"/>
      <c r="H103" s="72"/>
      <c r="I103" s="72"/>
      <c r="J103" s="72"/>
      <c r="K103" s="72"/>
      <c r="L103" s="72"/>
      <c r="M103" s="72"/>
      <c r="N103" s="75"/>
    </row>
    <row r="104" spans="1:14" x14ac:dyDescent="0.3">
      <c r="A104" s="63"/>
      <c r="B104" s="63"/>
      <c r="C104" s="63"/>
      <c r="D104" s="63"/>
      <c r="E104" s="63"/>
      <c r="F104" s="63"/>
      <c r="G104" s="63"/>
      <c r="H104" s="72"/>
      <c r="I104" s="72"/>
      <c r="J104" s="72"/>
      <c r="K104" s="72"/>
      <c r="L104" s="72"/>
      <c r="M104" s="72"/>
      <c r="N104" s="75"/>
    </row>
    <row r="105" spans="1:14" x14ac:dyDescent="0.3">
      <c r="A105" s="63"/>
      <c r="B105" s="63"/>
      <c r="C105" s="63"/>
      <c r="D105" s="63"/>
      <c r="E105" s="63"/>
      <c r="F105" s="63"/>
      <c r="G105" s="63"/>
      <c r="H105" s="72"/>
      <c r="I105" s="72"/>
      <c r="J105" s="72"/>
      <c r="K105" s="72"/>
      <c r="L105" s="72"/>
      <c r="M105" s="72"/>
      <c r="N105" s="75"/>
    </row>
    <row r="106" spans="1:14" x14ac:dyDescent="0.3">
      <c r="A106" s="63"/>
      <c r="B106" s="63"/>
      <c r="C106" s="63"/>
      <c r="D106" s="63"/>
      <c r="E106" s="63"/>
      <c r="F106" s="63"/>
      <c r="G106" s="63"/>
      <c r="H106" s="72"/>
      <c r="I106" s="72"/>
      <c r="J106" s="72"/>
      <c r="K106" s="72"/>
      <c r="L106" s="72"/>
      <c r="M106" s="72"/>
      <c r="N106" s="75"/>
    </row>
    <row r="107" spans="1:14" x14ac:dyDescent="0.3">
      <c r="A107" s="63"/>
      <c r="B107" s="63"/>
      <c r="C107" s="63"/>
      <c r="D107" s="63"/>
      <c r="E107" s="63"/>
      <c r="F107" s="63"/>
      <c r="G107" s="63"/>
      <c r="H107" s="72"/>
      <c r="I107" s="72"/>
      <c r="J107" s="72"/>
      <c r="K107" s="72"/>
      <c r="L107" s="72"/>
      <c r="M107" s="72"/>
      <c r="N107" s="75"/>
    </row>
    <row r="108" spans="1:14" x14ac:dyDescent="0.3">
      <c r="A108" s="63"/>
      <c r="B108" s="63"/>
      <c r="C108" s="63"/>
      <c r="D108" s="63"/>
      <c r="E108" s="63"/>
      <c r="F108" s="63"/>
      <c r="G108" s="63"/>
      <c r="H108" s="72"/>
      <c r="I108" s="72"/>
      <c r="J108" s="72"/>
      <c r="K108" s="72"/>
      <c r="L108" s="72"/>
      <c r="M108" s="72"/>
      <c r="N108" s="75"/>
    </row>
    <row r="109" spans="1:14" x14ac:dyDescent="0.3">
      <c r="A109" s="63"/>
      <c r="B109" s="63"/>
      <c r="C109" s="63"/>
      <c r="D109" s="63"/>
      <c r="E109" s="63"/>
      <c r="F109" s="63"/>
      <c r="G109" s="63"/>
      <c r="H109" s="72"/>
      <c r="I109" s="72"/>
      <c r="J109" s="72"/>
      <c r="K109" s="72"/>
      <c r="L109" s="72"/>
      <c r="M109" s="72"/>
      <c r="N109" s="75"/>
    </row>
    <row r="110" spans="1:14" x14ac:dyDescent="0.3">
      <c r="A110" s="63"/>
      <c r="B110" s="63"/>
      <c r="C110" s="63"/>
      <c r="D110" s="63"/>
      <c r="E110" s="63"/>
      <c r="F110" s="63"/>
      <c r="G110" s="63"/>
      <c r="H110" s="72"/>
      <c r="I110" s="72"/>
      <c r="J110" s="72"/>
      <c r="K110" s="72"/>
      <c r="L110" s="72"/>
      <c r="M110" s="72"/>
      <c r="N110" s="75"/>
    </row>
    <row r="111" spans="1:14" x14ac:dyDescent="0.3">
      <c r="A111" s="63"/>
      <c r="B111" s="63"/>
      <c r="C111" s="63"/>
      <c r="D111" s="63"/>
      <c r="E111" s="63"/>
      <c r="F111" s="63"/>
      <c r="G111" s="63"/>
      <c r="H111" s="72"/>
      <c r="I111" s="72"/>
      <c r="J111" s="72"/>
      <c r="K111" s="72"/>
      <c r="L111" s="72"/>
      <c r="M111" s="72"/>
      <c r="N111" s="75"/>
    </row>
    <row r="112" spans="1:14" x14ac:dyDescent="0.3">
      <c r="A112" s="63"/>
      <c r="B112" s="63"/>
      <c r="C112" s="63"/>
      <c r="D112" s="63"/>
      <c r="E112" s="63"/>
      <c r="F112" s="63"/>
      <c r="G112" s="63"/>
      <c r="H112" s="72"/>
      <c r="I112" s="72"/>
      <c r="J112" s="72"/>
      <c r="K112" s="72"/>
      <c r="L112" s="72"/>
      <c r="M112" s="72"/>
      <c r="N112" s="75"/>
    </row>
    <row r="113" spans="1:14" x14ac:dyDescent="0.3">
      <c r="A113" s="63"/>
      <c r="B113" s="63"/>
      <c r="C113" s="63"/>
      <c r="D113" s="63"/>
      <c r="E113" s="63"/>
      <c r="F113" s="63"/>
      <c r="G113" s="63"/>
      <c r="H113" s="72"/>
      <c r="I113" s="72"/>
      <c r="J113" s="72"/>
      <c r="K113" s="72"/>
      <c r="L113" s="72"/>
      <c r="M113" s="72"/>
      <c r="N113" s="75"/>
    </row>
    <row r="114" spans="1:14" x14ac:dyDescent="0.3">
      <c r="A114" s="63"/>
      <c r="B114" s="63"/>
      <c r="C114" s="63"/>
      <c r="D114" s="63"/>
      <c r="E114" s="63"/>
      <c r="F114" s="63"/>
      <c r="G114" s="63"/>
      <c r="H114" s="72"/>
      <c r="I114" s="72"/>
      <c r="J114" s="72"/>
      <c r="K114" s="72"/>
      <c r="L114" s="72"/>
      <c r="M114" s="72"/>
      <c r="N114" s="75"/>
    </row>
    <row r="115" spans="1:14" x14ac:dyDescent="0.3">
      <c r="A115" s="63"/>
      <c r="B115" s="63"/>
      <c r="C115" s="63"/>
      <c r="D115" s="63"/>
      <c r="E115" s="63"/>
      <c r="F115" s="63"/>
      <c r="G115" s="63"/>
      <c r="H115" s="72"/>
      <c r="I115" s="72"/>
      <c r="J115" s="72"/>
      <c r="K115" s="72"/>
      <c r="L115" s="72"/>
      <c r="M115" s="72"/>
      <c r="N115" s="75"/>
    </row>
    <row r="116" spans="1:14" x14ac:dyDescent="0.3">
      <c r="A116" s="63"/>
      <c r="B116" s="63"/>
      <c r="C116" s="63"/>
      <c r="D116" s="63"/>
      <c r="E116" s="63"/>
      <c r="F116" s="63"/>
      <c r="G116" s="63"/>
      <c r="H116" s="72"/>
      <c r="I116" s="72"/>
      <c r="J116" s="72"/>
      <c r="K116" s="72"/>
      <c r="L116" s="72"/>
      <c r="M116" s="72"/>
      <c r="N116" s="75"/>
    </row>
    <row r="117" spans="1:14" x14ac:dyDescent="0.3">
      <c r="A117" s="63"/>
      <c r="B117" s="63"/>
      <c r="C117" s="63"/>
      <c r="D117" s="63"/>
      <c r="E117" s="63"/>
      <c r="F117" s="63"/>
      <c r="G117" s="63"/>
      <c r="H117" s="72"/>
      <c r="I117" s="72"/>
      <c r="J117" s="72"/>
      <c r="K117" s="72"/>
      <c r="L117" s="72"/>
      <c r="M117" s="72"/>
      <c r="N117" s="75"/>
    </row>
    <row r="118" spans="1:14" x14ac:dyDescent="0.3">
      <c r="A118" s="63"/>
      <c r="B118" s="63"/>
      <c r="C118" s="63"/>
      <c r="D118" s="63"/>
      <c r="E118" s="63"/>
      <c r="F118" s="63"/>
      <c r="G118" s="63"/>
      <c r="H118" s="72"/>
      <c r="I118" s="72"/>
      <c r="J118" s="72"/>
      <c r="K118" s="72"/>
      <c r="L118" s="72"/>
      <c r="M118" s="72"/>
      <c r="N118" s="75"/>
    </row>
    <row r="119" spans="1:14" x14ac:dyDescent="0.3">
      <c r="A119" s="63"/>
      <c r="B119" s="63"/>
      <c r="C119" s="63"/>
      <c r="D119" s="63"/>
      <c r="E119" s="63"/>
      <c r="F119" s="63"/>
      <c r="G119" s="63"/>
      <c r="H119" s="72"/>
      <c r="I119" s="72"/>
      <c r="J119" s="72"/>
      <c r="K119" s="72"/>
      <c r="L119" s="72"/>
      <c r="M119" s="72"/>
      <c r="N119" s="75"/>
    </row>
    <row r="120" spans="1:14" x14ac:dyDescent="0.3">
      <c r="A120" s="63"/>
      <c r="B120" s="63"/>
      <c r="C120" s="63"/>
      <c r="D120" s="63"/>
      <c r="E120" s="63"/>
      <c r="F120" s="63"/>
      <c r="G120" s="63"/>
      <c r="H120" s="72"/>
      <c r="I120" s="72"/>
      <c r="J120" s="72"/>
      <c r="K120" s="72"/>
      <c r="L120" s="72"/>
      <c r="M120" s="72"/>
      <c r="N120" s="75"/>
    </row>
    <row r="121" spans="1:14" x14ac:dyDescent="0.3">
      <c r="A121" s="63"/>
      <c r="B121" s="63"/>
      <c r="C121" s="63"/>
      <c r="D121" s="63"/>
      <c r="E121" s="63"/>
      <c r="F121" s="63"/>
      <c r="G121" s="63"/>
      <c r="H121" s="72"/>
      <c r="I121" s="72"/>
      <c r="J121" s="72"/>
      <c r="K121" s="72"/>
      <c r="L121" s="72"/>
      <c r="M121" s="72"/>
      <c r="N121" s="75"/>
    </row>
    <row r="122" spans="1:14" x14ac:dyDescent="0.3">
      <c r="A122" s="63"/>
      <c r="B122" s="63"/>
      <c r="C122" s="63"/>
      <c r="D122" s="63"/>
      <c r="E122" s="63"/>
      <c r="F122" s="63"/>
      <c r="G122" s="63"/>
      <c r="H122" s="72"/>
      <c r="I122" s="72"/>
      <c r="J122" s="72"/>
      <c r="K122" s="72"/>
      <c r="L122" s="72"/>
      <c r="M122" s="72"/>
      <c r="N122" s="75"/>
    </row>
    <row r="123" spans="1:14" x14ac:dyDescent="0.3">
      <c r="A123" s="63"/>
      <c r="B123" s="63"/>
      <c r="C123" s="63"/>
      <c r="D123" s="63"/>
      <c r="E123" s="63"/>
      <c r="F123" s="63"/>
      <c r="G123" s="63"/>
      <c r="H123" s="72"/>
      <c r="I123" s="72"/>
      <c r="J123" s="72"/>
      <c r="K123" s="72"/>
      <c r="L123" s="72"/>
      <c r="M123" s="72"/>
      <c r="N123" s="75"/>
    </row>
    <row r="124" spans="1:14" x14ac:dyDescent="0.3">
      <c r="A124" s="63"/>
      <c r="B124" s="63"/>
      <c r="C124" s="63"/>
      <c r="D124" s="63"/>
      <c r="E124" s="63"/>
      <c r="F124" s="63"/>
      <c r="G124" s="63"/>
      <c r="H124" s="72"/>
      <c r="I124" s="72"/>
      <c r="J124" s="72"/>
      <c r="K124" s="72"/>
      <c r="L124" s="72"/>
      <c r="M124" s="72"/>
      <c r="N124" s="75"/>
    </row>
    <row r="125" spans="1:14" x14ac:dyDescent="0.3">
      <c r="A125" s="63"/>
      <c r="B125" s="63"/>
      <c r="C125" s="63"/>
      <c r="D125" s="63"/>
      <c r="E125" s="63"/>
      <c r="F125" s="63"/>
      <c r="G125" s="63"/>
      <c r="H125" s="72"/>
      <c r="I125" s="72"/>
      <c r="J125" s="72"/>
      <c r="K125" s="72"/>
      <c r="L125" s="72"/>
      <c r="M125" s="72"/>
      <c r="N125" s="75"/>
    </row>
    <row r="126" spans="1:14" x14ac:dyDescent="0.3">
      <c r="A126" s="63"/>
      <c r="B126" s="63"/>
      <c r="C126" s="63"/>
      <c r="D126" s="63"/>
      <c r="E126" s="63"/>
      <c r="F126" s="63"/>
      <c r="G126" s="63"/>
      <c r="H126" s="72"/>
      <c r="I126" s="72"/>
      <c r="J126" s="72"/>
      <c r="K126" s="72"/>
      <c r="L126" s="72"/>
      <c r="M126" s="72"/>
      <c r="N126" s="75"/>
    </row>
    <row r="127" spans="1:14" x14ac:dyDescent="0.3">
      <c r="A127" s="63"/>
      <c r="B127" s="63"/>
      <c r="C127" s="63"/>
      <c r="D127" s="63"/>
      <c r="E127" s="63"/>
      <c r="F127" s="63"/>
      <c r="G127" s="63"/>
      <c r="H127" s="72"/>
      <c r="I127" s="72"/>
      <c r="J127" s="72"/>
      <c r="K127" s="72"/>
      <c r="L127" s="72"/>
      <c r="M127" s="72"/>
      <c r="N127" s="75"/>
    </row>
    <row r="128" spans="1:14" x14ac:dyDescent="0.3">
      <c r="A128" s="63"/>
      <c r="B128" s="63"/>
      <c r="C128" s="63"/>
      <c r="D128" s="63"/>
      <c r="E128" s="63"/>
      <c r="F128" s="63"/>
      <c r="G128" s="63"/>
      <c r="H128" s="72"/>
      <c r="I128" s="72"/>
      <c r="J128" s="72"/>
      <c r="K128" s="72"/>
      <c r="L128" s="72"/>
      <c r="M128" s="72"/>
      <c r="N128" s="75"/>
    </row>
    <row r="129" spans="1:14" x14ac:dyDescent="0.3">
      <c r="A129" s="63"/>
      <c r="B129" s="63"/>
      <c r="C129" s="63"/>
      <c r="D129" s="63"/>
      <c r="E129" s="63"/>
      <c r="F129" s="63"/>
      <c r="G129" s="63"/>
      <c r="H129" s="72"/>
      <c r="I129" s="72"/>
      <c r="J129" s="72"/>
      <c r="K129" s="72"/>
      <c r="L129" s="72"/>
      <c r="M129" s="72"/>
      <c r="N129" s="75"/>
    </row>
    <row r="130" spans="1:14" x14ac:dyDescent="0.3">
      <c r="A130" s="63"/>
      <c r="B130" s="63"/>
      <c r="C130" s="63"/>
      <c r="D130" s="63"/>
      <c r="E130" s="63"/>
      <c r="F130" s="63"/>
      <c r="G130" s="63"/>
      <c r="H130" s="72"/>
      <c r="I130" s="72"/>
      <c r="J130" s="72"/>
      <c r="K130" s="72"/>
      <c r="L130" s="72"/>
      <c r="M130" s="72"/>
      <c r="N130" s="75"/>
    </row>
    <row r="131" spans="1:14" x14ac:dyDescent="0.3">
      <c r="A131" s="63"/>
      <c r="B131" s="63"/>
      <c r="C131" s="63"/>
      <c r="D131" s="63"/>
      <c r="E131" s="63"/>
      <c r="F131" s="63"/>
      <c r="G131" s="63"/>
      <c r="H131" s="72"/>
      <c r="I131" s="72"/>
      <c r="J131" s="72"/>
      <c r="K131" s="72"/>
      <c r="L131" s="72"/>
      <c r="M131" s="72"/>
      <c r="N131" s="75"/>
    </row>
    <row r="132" spans="1:14" x14ac:dyDescent="0.3">
      <c r="A132" s="63"/>
      <c r="B132" s="63"/>
      <c r="C132" s="63"/>
      <c r="D132" s="63"/>
      <c r="E132" s="63"/>
      <c r="F132" s="63"/>
      <c r="G132" s="63"/>
      <c r="H132" s="72"/>
      <c r="I132" s="72"/>
      <c r="J132" s="72"/>
      <c r="K132" s="72"/>
      <c r="L132" s="72"/>
      <c r="M132" s="72"/>
      <c r="N132" s="75"/>
    </row>
    <row r="133" spans="1:14" x14ac:dyDescent="0.3">
      <c r="A133" s="63"/>
      <c r="B133" s="63"/>
      <c r="C133" s="63"/>
      <c r="D133" s="63"/>
      <c r="E133" s="63"/>
      <c r="F133" s="63"/>
      <c r="G133" s="63"/>
      <c r="H133" s="72"/>
      <c r="I133" s="72"/>
      <c r="J133" s="72"/>
      <c r="K133" s="72"/>
      <c r="L133" s="72"/>
      <c r="M133" s="72"/>
      <c r="N133" s="75"/>
    </row>
    <row r="134" spans="1:14" x14ac:dyDescent="0.3">
      <c r="A134" s="63"/>
      <c r="B134" s="63"/>
      <c r="C134" s="63"/>
      <c r="D134" s="63"/>
      <c r="E134" s="63"/>
      <c r="F134" s="63"/>
      <c r="G134" s="63"/>
      <c r="H134" s="72"/>
      <c r="I134" s="72"/>
      <c r="J134" s="72"/>
      <c r="K134" s="72"/>
      <c r="L134" s="72"/>
      <c r="M134" s="72"/>
      <c r="N134" s="75"/>
    </row>
    <row r="135" spans="1:14" x14ac:dyDescent="0.3">
      <c r="A135" s="63"/>
      <c r="B135" s="63"/>
      <c r="C135" s="63"/>
      <c r="D135" s="63"/>
      <c r="E135" s="63"/>
      <c r="F135" s="63"/>
      <c r="G135" s="63"/>
      <c r="H135" s="72"/>
      <c r="I135" s="72"/>
      <c r="J135" s="72"/>
      <c r="K135" s="72"/>
      <c r="L135" s="72"/>
      <c r="M135" s="72"/>
      <c r="N135" s="75"/>
    </row>
    <row r="136" spans="1:14" x14ac:dyDescent="0.3">
      <c r="A136" s="63"/>
      <c r="B136" s="63"/>
      <c r="C136" s="63"/>
      <c r="D136" s="63"/>
      <c r="E136" s="63"/>
      <c r="F136" s="63"/>
      <c r="G136" s="63"/>
      <c r="H136" s="72"/>
      <c r="I136" s="72"/>
      <c r="J136" s="72"/>
      <c r="K136" s="72"/>
      <c r="L136" s="72"/>
      <c r="M136" s="72"/>
      <c r="N136" s="75"/>
    </row>
    <row r="137" spans="1:14" x14ac:dyDescent="0.3">
      <c r="A137" s="63"/>
      <c r="B137" s="63"/>
      <c r="C137" s="63"/>
      <c r="D137" s="63"/>
      <c r="E137" s="63"/>
      <c r="F137" s="63"/>
      <c r="G137" s="63"/>
      <c r="H137" s="72"/>
      <c r="I137" s="72"/>
      <c r="J137" s="72"/>
      <c r="K137" s="72"/>
      <c r="L137" s="72"/>
      <c r="M137" s="72"/>
      <c r="N137" s="75"/>
    </row>
    <row r="138" spans="1:14" x14ac:dyDescent="0.3">
      <c r="A138" s="63"/>
      <c r="B138" s="63"/>
      <c r="C138" s="63"/>
      <c r="D138" s="63"/>
      <c r="E138" s="63"/>
      <c r="F138" s="63"/>
      <c r="G138" s="63"/>
      <c r="H138" s="72"/>
      <c r="I138" s="72"/>
      <c r="J138" s="72"/>
      <c r="K138" s="72"/>
      <c r="L138" s="72"/>
      <c r="M138" s="72"/>
      <c r="N138" s="75"/>
    </row>
    <row r="139" spans="1:14" x14ac:dyDescent="0.3">
      <c r="A139" s="63"/>
      <c r="B139" s="63"/>
      <c r="C139" s="63"/>
      <c r="D139" s="63"/>
      <c r="E139" s="63"/>
      <c r="F139" s="63"/>
      <c r="G139" s="63"/>
      <c r="H139" s="72"/>
      <c r="I139" s="72"/>
      <c r="J139" s="72"/>
      <c r="K139" s="72"/>
      <c r="L139" s="72"/>
      <c r="M139" s="72"/>
      <c r="N139" s="75"/>
    </row>
    <row r="140" spans="1:14" x14ac:dyDescent="0.3">
      <c r="A140" s="63"/>
      <c r="B140" s="63"/>
      <c r="C140" s="63"/>
      <c r="D140" s="63"/>
      <c r="E140" s="63"/>
      <c r="F140" s="63"/>
      <c r="G140" s="63"/>
      <c r="H140" s="72"/>
      <c r="I140" s="72"/>
      <c r="J140" s="72"/>
      <c r="K140" s="72"/>
      <c r="L140" s="72"/>
      <c r="M140" s="72"/>
      <c r="N140" s="75"/>
    </row>
    <row r="141" spans="1:14" x14ac:dyDescent="0.3">
      <c r="A141" s="63"/>
      <c r="B141" s="63"/>
      <c r="C141" s="63"/>
      <c r="D141" s="63"/>
      <c r="E141" s="63"/>
      <c r="F141" s="63"/>
      <c r="G141" s="63"/>
      <c r="H141" s="72"/>
      <c r="I141" s="72"/>
      <c r="J141" s="72"/>
      <c r="K141" s="72"/>
      <c r="L141" s="72"/>
      <c r="M141" s="72"/>
      <c r="N141" s="75"/>
    </row>
    <row r="142" spans="1:14" x14ac:dyDescent="0.3">
      <c r="A142" s="63"/>
      <c r="B142" s="63"/>
      <c r="C142" s="63"/>
      <c r="D142" s="63"/>
      <c r="E142" s="63"/>
      <c r="F142" s="63"/>
      <c r="G142" s="63"/>
      <c r="H142" s="72"/>
      <c r="I142" s="72"/>
      <c r="J142" s="72"/>
      <c r="K142" s="72"/>
      <c r="L142" s="72"/>
      <c r="M142" s="72"/>
      <c r="N142" s="75"/>
    </row>
    <row r="143" spans="1:14" x14ac:dyDescent="0.3">
      <c r="A143" s="63"/>
      <c r="B143" s="63"/>
      <c r="C143" s="63"/>
      <c r="D143" s="63"/>
      <c r="E143" s="63"/>
      <c r="F143" s="63"/>
      <c r="G143" s="63"/>
      <c r="H143" s="72"/>
      <c r="I143" s="72"/>
      <c r="J143" s="72"/>
      <c r="K143" s="72"/>
      <c r="L143" s="72"/>
      <c r="M143" s="72"/>
      <c r="N143" s="75"/>
    </row>
    <row r="144" spans="1:14" x14ac:dyDescent="0.3">
      <c r="A144" s="63"/>
      <c r="B144" s="63"/>
      <c r="C144" s="63"/>
      <c r="D144" s="63"/>
      <c r="E144" s="63"/>
      <c r="F144" s="63"/>
      <c r="G144" s="63"/>
      <c r="H144" s="72"/>
      <c r="I144" s="72"/>
      <c r="J144" s="72"/>
      <c r="K144" s="72"/>
      <c r="L144" s="72"/>
      <c r="M144" s="72"/>
      <c r="N144" s="75"/>
    </row>
    <row r="145" spans="1:14" x14ac:dyDescent="0.3">
      <c r="A145" s="63"/>
      <c r="B145" s="63"/>
      <c r="C145" s="63"/>
      <c r="D145" s="63"/>
      <c r="E145" s="63"/>
      <c r="F145" s="63"/>
      <c r="G145" s="63"/>
      <c r="H145" s="72"/>
      <c r="I145" s="72"/>
      <c r="J145" s="72"/>
      <c r="K145" s="72"/>
      <c r="L145" s="72"/>
      <c r="M145" s="72"/>
      <c r="N145" s="75"/>
    </row>
    <row r="146" spans="1:14" x14ac:dyDescent="0.3">
      <c r="A146" s="63"/>
      <c r="B146" s="63"/>
      <c r="C146" s="63"/>
      <c r="D146" s="63"/>
      <c r="E146" s="63"/>
      <c r="F146" s="63"/>
      <c r="G146" s="63"/>
      <c r="H146" s="72"/>
      <c r="I146" s="72"/>
      <c r="J146" s="72"/>
      <c r="K146" s="72"/>
      <c r="L146" s="72"/>
      <c r="M146" s="72"/>
      <c r="N146" s="75"/>
    </row>
    <row r="147" spans="1:14" x14ac:dyDescent="0.3">
      <c r="A147" s="63"/>
      <c r="B147" s="63"/>
      <c r="C147" s="63"/>
      <c r="D147" s="63"/>
      <c r="E147" s="63"/>
      <c r="F147" s="63"/>
      <c r="G147" s="63"/>
      <c r="H147" s="72"/>
      <c r="I147" s="72"/>
      <c r="J147" s="72"/>
      <c r="K147" s="72"/>
      <c r="L147" s="72"/>
      <c r="M147" s="72"/>
      <c r="N147" s="75"/>
    </row>
    <row r="148" spans="1:14" x14ac:dyDescent="0.3">
      <c r="A148" s="63"/>
      <c r="B148" s="63"/>
      <c r="C148" s="63"/>
      <c r="D148" s="63"/>
      <c r="E148" s="63"/>
      <c r="F148" s="63"/>
      <c r="G148" s="63"/>
      <c r="H148" s="72"/>
      <c r="I148" s="72"/>
      <c r="J148" s="72"/>
      <c r="K148" s="72"/>
      <c r="L148" s="72"/>
      <c r="M148" s="72"/>
      <c r="N148" s="75"/>
    </row>
    <row r="149" spans="1:14" x14ac:dyDescent="0.3">
      <c r="A149" s="63"/>
      <c r="B149" s="63"/>
      <c r="C149" s="63"/>
      <c r="D149" s="63"/>
      <c r="E149" s="63"/>
      <c r="F149" s="63"/>
      <c r="G149" s="63"/>
      <c r="H149" s="72"/>
      <c r="I149" s="72"/>
      <c r="J149" s="72"/>
      <c r="K149" s="72"/>
      <c r="L149" s="72"/>
      <c r="M149" s="72"/>
      <c r="N149" s="75"/>
    </row>
    <row r="150" spans="1:14" x14ac:dyDescent="0.3">
      <c r="A150" s="63"/>
      <c r="B150" s="63"/>
      <c r="C150" s="63"/>
      <c r="D150" s="63"/>
      <c r="E150" s="63"/>
      <c r="F150" s="63"/>
      <c r="G150" s="63"/>
      <c r="H150" s="72"/>
      <c r="I150" s="72"/>
      <c r="J150" s="72"/>
      <c r="K150" s="72"/>
      <c r="L150" s="72"/>
      <c r="M150" s="72"/>
      <c r="N150" s="75"/>
    </row>
    <row r="151" spans="1:14" x14ac:dyDescent="0.3">
      <c r="A151" s="63"/>
      <c r="B151" s="63"/>
      <c r="C151" s="63"/>
      <c r="D151" s="63"/>
      <c r="E151" s="63"/>
      <c r="F151" s="63"/>
      <c r="G151" s="63"/>
      <c r="H151" s="72"/>
      <c r="I151" s="72"/>
      <c r="J151" s="72"/>
      <c r="K151" s="72"/>
      <c r="L151" s="72"/>
      <c r="M151" s="72"/>
      <c r="N151" s="75"/>
    </row>
    <row r="152" spans="1:14" x14ac:dyDescent="0.3">
      <c r="A152" s="63"/>
      <c r="B152" s="63"/>
      <c r="C152" s="63"/>
      <c r="D152" s="63"/>
      <c r="E152" s="63"/>
      <c r="F152" s="63"/>
      <c r="G152" s="63"/>
      <c r="H152" s="72"/>
      <c r="I152" s="72"/>
      <c r="J152" s="72"/>
      <c r="K152" s="72"/>
      <c r="L152" s="72"/>
      <c r="M152" s="72"/>
      <c r="N152" s="75"/>
    </row>
    <row r="153" spans="1:14" x14ac:dyDescent="0.3">
      <c r="A153" s="63"/>
      <c r="B153" s="63"/>
      <c r="C153" s="63"/>
      <c r="D153" s="63"/>
      <c r="E153" s="63"/>
      <c r="F153" s="63"/>
      <c r="G153" s="63"/>
      <c r="H153" s="72"/>
      <c r="I153" s="72"/>
      <c r="J153" s="72"/>
      <c r="K153" s="72"/>
      <c r="L153" s="72"/>
      <c r="M153" s="72"/>
      <c r="N153" s="75"/>
    </row>
    <row r="154" spans="1:14" x14ac:dyDescent="0.3">
      <c r="A154" s="63"/>
      <c r="B154" s="63"/>
      <c r="C154" s="63"/>
      <c r="D154" s="63"/>
      <c r="E154" s="63"/>
      <c r="F154" s="63"/>
      <c r="G154" s="63"/>
      <c r="H154" s="72"/>
      <c r="I154" s="72"/>
      <c r="J154" s="72"/>
      <c r="K154" s="72"/>
      <c r="L154" s="72"/>
      <c r="M154" s="72"/>
      <c r="N154" s="75"/>
    </row>
    <row r="155" spans="1:14" x14ac:dyDescent="0.3">
      <c r="A155" s="63"/>
      <c r="B155" s="63"/>
      <c r="C155" s="63"/>
      <c r="D155" s="63"/>
      <c r="E155" s="63"/>
      <c r="F155" s="63"/>
      <c r="G155" s="63"/>
      <c r="H155" s="72"/>
      <c r="I155" s="72"/>
      <c r="J155" s="72"/>
      <c r="K155" s="72"/>
      <c r="L155" s="72"/>
      <c r="M155" s="72"/>
      <c r="N155" s="75"/>
    </row>
    <row r="156" spans="1:14" x14ac:dyDescent="0.3">
      <c r="A156" s="63"/>
      <c r="B156" s="63"/>
      <c r="C156" s="63"/>
      <c r="D156" s="63"/>
      <c r="E156" s="63"/>
      <c r="F156" s="63"/>
      <c r="G156" s="63"/>
      <c r="H156" s="72"/>
      <c r="I156" s="72"/>
      <c r="J156" s="72"/>
      <c r="K156" s="72"/>
      <c r="L156" s="72"/>
      <c r="M156" s="72"/>
      <c r="N156" s="75"/>
    </row>
    <row r="157" spans="1:14" x14ac:dyDescent="0.3">
      <c r="A157" s="63"/>
      <c r="B157" s="63"/>
      <c r="C157" s="63"/>
      <c r="D157" s="63"/>
      <c r="E157" s="63"/>
      <c r="F157" s="63"/>
      <c r="G157" s="63"/>
      <c r="H157" s="72"/>
      <c r="I157" s="72"/>
      <c r="J157" s="72"/>
      <c r="K157" s="72"/>
      <c r="L157" s="72"/>
      <c r="M157" s="72"/>
      <c r="N157" s="75"/>
    </row>
    <row r="158" spans="1:14" x14ac:dyDescent="0.3">
      <c r="A158" s="63"/>
      <c r="B158" s="63"/>
      <c r="C158" s="63"/>
      <c r="D158" s="63"/>
      <c r="E158" s="63"/>
      <c r="F158" s="63"/>
      <c r="G158" s="63"/>
      <c r="H158" s="72"/>
      <c r="I158" s="72"/>
      <c r="J158" s="72"/>
      <c r="K158" s="72"/>
      <c r="L158" s="72"/>
      <c r="M158" s="72"/>
      <c r="N158" s="75"/>
    </row>
    <row r="159" spans="1:14" x14ac:dyDescent="0.3">
      <c r="A159" s="63"/>
      <c r="B159" s="63"/>
      <c r="C159" s="63"/>
      <c r="D159" s="63"/>
      <c r="E159" s="63"/>
      <c r="F159" s="63"/>
      <c r="G159" s="63"/>
      <c r="H159" s="72"/>
      <c r="I159" s="72"/>
      <c r="J159" s="72"/>
      <c r="K159" s="72"/>
      <c r="L159" s="72"/>
      <c r="M159" s="72"/>
      <c r="N159" s="75"/>
    </row>
    <row r="160" spans="1:14" x14ac:dyDescent="0.3">
      <c r="A160" s="63"/>
      <c r="B160" s="63"/>
      <c r="C160" s="63"/>
      <c r="D160" s="63"/>
      <c r="E160" s="63"/>
      <c r="F160" s="63"/>
      <c r="G160" s="63"/>
      <c r="H160" s="72"/>
      <c r="I160" s="72"/>
      <c r="J160" s="72"/>
      <c r="K160" s="72"/>
      <c r="L160" s="72"/>
      <c r="M160" s="72"/>
      <c r="N160" s="75"/>
    </row>
    <row r="161" spans="1:14" x14ac:dyDescent="0.3">
      <c r="A161" s="63"/>
      <c r="B161" s="63"/>
      <c r="C161" s="63"/>
      <c r="D161" s="63"/>
      <c r="E161" s="63"/>
      <c r="F161" s="63"/>
      <c r="G161" s="63"/>
      <c r="H161" s="72"/>
      <c r="I161" s="72"/>
      <c r="J161" s="72"/>
      <c r="K161" s="72"/>
      <c r="L161" s="72"/>
      <c r="M161" s="72"/>
      <c r="N161" s="75"/>
    </row>
    <row r="162" spans="1:14" x14ac:dyDescent="0.3">
      <c r="A162" s="63"/>
      <c r="B162" s="63"/>
      <c r="C162" s="63"/>
      <c r="D162" s="63"/>
      <c r="E162" s="63"/>
      <c r="F162" s="63"/>
      <c r="G162" s="63"/>
      <c r="H162" s="72"/>
      <c r="I162" s="72"/>
      <c r="J162" s="72"/>
      <c r="K162" s="72"/>
      <c r="L162" s="72"/>
      <c r="M162" s="72"/>
      <c r="N162" s="75"/>
    </row>
    <row r="163" spans="1:14" x14ac:dyDescent="0.3">
      <c r="A163" s="63"/>
      <c r="B163" s="63"/>
      <c r="C163" s="63"/>
      <c r="D163" s="63"/>
      <c r="E163" s="63"/>
      <c r="F163" s="63"/>
      <c r="G163" s="63"/>
      <c r="H163" s="72"/>
      <c r="I163" s="72"/>
      <c r="J163" s="72"/>
      <c r="K163" s="72"/>
      <c r="L163" s="72"/>
      <c r="M163" s="72"/>
      <c r="N163" s="75"/>
    </row>
    <row r="164" spans="1:14" x14ac:dyDescent="0.3">
      <c r="A164" s="63"/>
      <c r="B164" s="63"/>
      <c r="C164" s="63"/>
      <c r="D164" s="63"/>
      <c r="E164" s="63"/>
      <c r="F164" s="63"/>
      <c r="G164" s="63"/>
      <c r="H164" s="72"/>
      <c r="I164" s="72"/>
      <c r="J164" s="72"/>
      <c r="K164" s="72"/>
      <c r="L164" s="72"/>
      <c r="M164" s="72"/>
      <c r="N164" s="75"/>
    </row>
    <row r="165" spans="1:14" x14ac:dyDescent="0.3">
      <c r="A165" s="63"/>
      <c r="B165" s="63"/>
      <c r="C165" s="63"/>
      <c r="D165" s="63"/>
      <c r="E165" s="63"/>
      <c r="F165" s="63"/>
      <c r="G165" s="63"/>
      <c r="H165" s="72"/>
      <c r="I165" s="72"/>
      <c r="J165" s="72"/>
      <c r="K165" s="72"/>
      <c r="L165" s="72"/>
      <c r="M165" s="72"/>
      <c r="N165" s="75"/>
    </row>
    <row r="166" spans="1:14" x14ac:dyDescent="0.3">
      <c r="A166" s="63"/>
      <c r="B166" s="63"/>
      <c r="C166" s="63"/>
      <c r="D166" s="63"/>
      <c r="E166" s="63"/>
      <c r="F166" s="63"/>
      <c r="G166" s="63"/>
      <c r="H166" s="72"/>
      <c r="I166" s="72"/>
      <c r="J166" s="72"/>
      <c r="K166" s="72"/>
      <c r="L166" s="72"/>
      <c r="M166" s="72"/>
      <c r="N166" s="75"/>
    </row>
    <row r="167" spans="1:14" x14ac:dyDescent="0.3">
      <c r="A167" s="63"/>
      <c r="B167" s="63"/>
      <c r="C167" s="63"/>
      <c r="D167" s="63"/>
      <c r="E167" s="63"/>
      <c r="F167" s="63"/>
      <c r="G167" s="63"/>
      <c r="H167" s="72"/>
      <c r="I167" s="72"/>
      <c r="J167" s="72"/>
      <c r="K167" s="72"/>
      <c r="L167" s="72"/>
      <c r="M167" s="72"/>
      <c r="N167" s="75"/>
    </row>
    <row r="168" spans="1:14" x14ac:dyDescent="0.3">
      <c r="A168" s="63"/>
      <c r="B168" s="63"/>
      <c r="C168" s="63"/>
      <c r="D168" s="63"/>
      <c r="E168" s="63"/>
      <c r="F168" s="63"/>
      <c r="G168" s="63"/>
      <c r="H168" s="72"/>
      <c r="I168" s="72"/>
      <c r="J168" s="72"/>
      <c r="K168" s="72"/>
      <c r="L168" s="72"/>
      <c r="M168" s="72"/>
      <c r="N168" s="75"/>
    </row>
    <row r="169" spans="1:14" x14ac:dyDescent="0.3">
      <c r="A169" s="63"/>
      <c r="B169" s="63"/>
      <c r="C169" s="63"/>
      <c r="D169" s="63"/>
      <c r="E169" s="63"/>
      <c r="F169" s="63"/>
      <c r="G169" s="63"/>
      <c r="H169" s="72"/>
      <c r="I169" s="72"/>
      <c r="J169" s="72"/>
      <c r="K169" s="72"/>
      <c r="L169" s="72"/>
      <c r="M169" s="72"/>
      <c r="N169" s="75"/>
    </row>
    <row r="170" spans="1:14" x14ac:dyDescent="0.3">
      <c r="A170" s="63"/>
      <c r="B170" s="63"/>
      <c r="C170" s="63"/>
      <c r="D170" s="63"/>
      <c r="E170" s="63"/>
      <c r="F170" s="63"/>
      <c r="G170" s="63"/>
      <c r="H170" s="72"/>
      <c r="I170" s="72"/>
      <c r="J170" s="72"/>
      <c r="K170" s="72"/>
      <c r="L170" s="72"/>
      <c r="M170" s="72"/>
      <c r="N170" s="75"/>
    </row>
    <row r="171" spans="1:14" x14ac:dyDescent="0.3">
      <c r="A171" s="63"/>
      <c r="B171" s="63"/>
      <c r="C171" s="63"/>
      <c r="D171" s="63"/>
      <c r="E171" s="63"/>
      <c r="F171" s="63"/>
      <c r="G171" s="63"/>
      <c r="H171" s="72"/>
      <c r="I171" s="72"/>
      <c r="J171" s="72"/>
      <c r="K171" s="72"/>
      <c r="L171" s="72"/>
      <c r="M171" s="72"/>
      <c r="N171" s="75"/>
    </row>
    <row r="172" spans="1:14" x14ac:dyDescent="0.3">
      <c r="A172" s="63"/>
      <c r="B172" s="63"/>
      <c r="C172" s="63"/>
      <c r="D172" s="63"/>
      <c r="E172" s="63"/>
      <c r="F172" s="63"/>
      <c r="G172" s="63"/>
      <c r="H172" s="72"/>
      <c r="I172" s="72"/>
      <c r="J172" s="72"/>
      <c r="K172" s="72"/>
      <c r="L172" s="72"/>
      <c r="M172" s="72"/>
      <c r="N172" s="75"/>
    </row>
    <row r="173" spans="1:14" x14ac:dyDescent="0.3">
      <c r="A173" s="63"/>
      <c r="B173" s="63"/>
      <c r="C173" s="63"/>
      <c r="D173" s="63"/>
      <c r="E173" s="63"/>
      <c r="F173" s="63"/>
      <c r="G173" s="63"/>
      <c r="H173" s="72"/>
      <c r="I173" s="72"/>
      <c r="J173" s="72"/>
      <c r="K173" s="72"/>
      <c r="L173" s="72"/>
      <c r="M173" s="72"/>
      <c r="N173" s="75"/>
    </row>
    <row r="174" spans="1:14" x14ac:dyDescent="0.3">
      <c r="A174" s="63"/>
      <c r="B174" s="63"/>
      <c r="C174" s="63"/>
      <c r="D174" s="63"/>
      <c r="E174" s="63"/>
      <c r="F174" s="63"/>
      <c r="G174" s="63"/>
      <c r="H174" s="72"/>
      <c r="I174" s="72"/>
      <c r="J174" s="72"/>
      <c r="K174" s="72"/>
      <c r="L174" s="72"/>
      <c r="M174" s="72"/>
      <c r="N174" s="75"/>
    </row>
    <row r="175" spans="1:14" x14ac:dyDescent="0.3">
      <c r="A175" s="63"/>
      <c r="B175" s="63"/>
      <c r="C175" s="63"/>
      <c r="D175" s="63"/>
      <c r="E175" s="63"/>
      <c r="F175" s="63"/>
      <c r="G175" s="63"/>
      <c r="H175" s="72"/>
      <c r="I175" s="72"/>
      <c r="J175" s="72"/>
      <c r="K175" s="72"/>
      <c r="L175" s="72"/>
      <c r="M175" s="72"/>
      <c r="N175" s="75"/>
    </row>
    <row r="176" spans="1:14" x14ac:dyDescent="0.3">
      <c r="A176" s="63"/>
      <c r="B176" s="63"/>
      <c r="C176" s="63"/>
      <c r="D176" s="63"/>
      <c r="E176" s="63"/>
      <c r="F176" s="63"/>
      <c r="G176" s="63"/>
      <c r="H176" s="72"/>
      <c r="I176" s="72"/>
      <c r="J176" s="72"/>
      <c r="K176" s="72"/>
      <c r="L176" s="72"/>
      <c r="M176" s="72"/>
      <c r="N176" s="75"/>
    </row>
    <row r="177" spans="1:14" x14ac:dyDescent="0.3">
      <c r="A177" s="63"/>
      <c r="B177" s="63"/>
      <c r="C177" s="63"/>
      <c r="D177" s="63"/>
      <c r="E177" s="63"/>
      <c r="F177" s="63"/>
      <c r="G177" s="63"/>
      <c r="H177" s="72"/>
      <c r="I177" s="72"/>
      <c r="J177" s="72"/>
      <c r="K177" s="72"/>
      <c r="L177" s="72"/>
      <c r="M177" s="72"/>
      <c r="N177" s="75"/>
    </row>
    <row r="178" spans="1:14" x14ac:dyDescent="0.3">
      <c r="A178" s="63"/>
      <c r="B178" s="63"/>
      <c r="C178" s="63"/>
      <c r="D178" s="63"/>
      <c r="E178" s="63"/>
      <c r="F178" s="63"/>
      <c r="G178" s="63"/>
      <c r="H178" s="72"/>
      <c r="I178" s="72"/>
      <c r="J178" s="72"/>
      <c r="K178" s="72"/>
      <c r="L178" s="72"/>
      <c r="M178" s="72"/>
      <c r="N178" s="75"/>
    </row>
    <row r="179" spans="1:14" x14ac:dyDescent="0.3">
      <c r="A179" s="63"/>
      <c r="B179" s="63"/>
      <c r="C179" s="63"/>
      <c r="D179" s="63"/>
      <c r="E179" s="63"/>
      <c r="F179" s="63"/>
      <c r="G179" s="63"/>
      <c r="H179" s="72"/>
      <c r="I179" s="72"/>
      <c r="J179" s="72"/>
      <c r="K179" s="72"/>
      <c r="L179" s="72"/>
      <c r="M179" s="72"/>
      <c r="N179" s="75"/>
    </row>
    <row r="180" spans="1:14" x14ac:dyDescent="0.3">
      <c r="A180" s="63"/>
      <c r="B180" s="63"/>
      <c r="C180" s="63"/>
      <c r="D180" s="63"/>
      <c r="E180" s="63"/>
      <c r="F180" s="63"/>
      <c r="G180" s="63"/>
      <c r="H180" s="72"/>
      <c r="I180" s="72"/>
      <c r="J180" s="72"/>
      <c r="K180" s="72"/>
      <c r="L180" s="72"/>
      <c r="M180" s="72"/>
      <c r="N180" s="75"/>
    </row>
    <row r="181" spans="1:14" x14ac:dyDescent="0.3">
      <c r="A181" s="63"/>
      <c r="B181" s="63"/>
      <c r="C181" s="63"/>
      <c r="D181" s="63"/>
      <c r="E181" s="63"/>
      <c r="F181" s="63"/>
      <c r="G181" s="63"/>
      <c r="H181" s="72"/>
      <c r="I181" s="72"/>
      <c r="J181" s="72"/>
      <c r="K181" s="72"/>
      <c r="L181" s="72"/>
      <c r="M181" s="72"/>
      <c r="N181" s="75"/>
    </row>
    <row r="182" spans="1:14" x14ac:dyDescent="0.3">
      <c r="A182" s="63"/>
      <c r="B182" s="63"/>
      <c r="C182" s="63"/>
      <c r="D182" s="63"/>
      <c r="E182" s="63"/>
      <c r="F182" s="63"/>
      <c r="G182" s="63"/>
      <c r="H182" s="72"/>
      <c r="I182" s="72"/>
      <c r="J182" s="72"/>
      <c r="K182" s="72"/>
      <c r="L182" s="72"/>
      <c r="M182" s="72"/>
      <c r="N182" s="75"/>
    </row>
    <row r="183" spans="1:14" x14ac:dyDescent="0.3">
      <c r="A183" s="63"/>
      <c r="B183" s="63"/>
      <c r="C183" s="63"/>
      <c r="D183" s="63"/>
      <c r="E183" s="63"/>
      <c r="F183" s="63"/>
      <c r="G183" s="63"/>
      <c r="H183" s="72"/>
      <c r="I183" s="72"/>
      <c r="J183" s="72"/>
      <c r="K183" s="72"/>
      <c r="L183" s="72"/>
      <c r="M183" s="72"/>
      <c r="N183" s="75"/>
    </row>
    <row r="184" spans="1:14" x14ac:dyDescent="0.3">
      <c r="A184" s="63"/>
      <c r="B184" s="63"/>
      <c r="C184" s="63"/>
      <c r="D184" s="63"/>
      <c r="E184" s="63"/>
      <c r="F184" s="63"/>
      <c r="G184" s="63"/>
      <c r="H184" s="72"/>
      <c r="I184" s="72"/>
      <c r="J184" s="72"/>
      <c r="K184" s="72"/>
      <c r="L184" s="72"/>
      <c r="M184" s="72"/>
      <c r="N184" s="75"/>
    </row>
    <row r="185" spans="1:14" x14ac:dyDescent="0.3">
      <c r="A185" s="63"/>
      <c r="B185" s="63"/>
      <c r="C185" s="63"/>
      <c r="D185" s="63"/>
      <c r="E185" s="63"/>
      <c r="F185" s="63"/>
      <c r="G185" s="63"/>
      <c r="H185" s="72"/>
      <c r="I185" s="72"/>
      <c r="J185" s="72"/>
      <c r="K185" s="72"/>
      <c r="L185" s="72"/>
      <c r="M185" s="72"/>
      <c r="N185" s="75"/>
    </row>
    <row r="186" spans="1:14" x14ac:dyDescent="0.3">
      <c r="A186" s="63"/>
      <c r="B186" s="63"/>
      <c r="C186" s="63"/>
      <c r="D186" s="63"/>
      <c r="E186" s="63"/>
      <c r="F186" s="63"/>
      <c r="G186" s="63"/>
      <c r="H186" s="72"/>
      <c r="I186" s="72"/>
      <c r="J186" s="72"/>
      <c r="K186" s="72"/>
      <c r="L186" s="72"/>
      <c r="M186" s="72"/>
      <c r="N186" s="75"/>
    </row>
    <row r="187" spans="1:14" x14ac:dyDescent="0.3">
      <c r="A187" s="63"/>
      <c r="B187" s="63"/>
      <c r="C187" s="63"/>
      <c r="D187" s="63"/>
      <c r="E187" s="63"/>
      <c r="F187" s="63"/>
      <c r="G187" s="63"/>
      <c r="H187" s="72"/>
      <c r="I187" s="72"/>
      <c r="J187" s="72"/>
      <c r="K187" s="72"/>
      <c r="L187" s="72"/>
      <c r="M187" s="72"/>
      <c r="N187" s="75"/>
    </row>
    <row r="188" spans="1:14" x14ac:dyDescent="0.3">
      <c r="A188" s="63"/>
      <c r="B188" s="63"/>
      <c r="C188" s="63"/>
      <c r="D188" s="63"/>
      <c r="E188" s="63"/>
      <c r="F188" s="63"/>
      <c r="G188" s="63"/>
      <c r="H188" s="72"/>
      <c r="I188" s="72"/>
      <c r="J188" s="72"/>
      <c r="K188" s="72"/>
      <c r="L188" s="72"/>
      <c r="M188" s="72"/>
      <c r="N188" s="75"/>
    </row>
    <row r="189" spans="1:14" x14ac:dyDescent="0.3">
      <c r="A189" s="63"/>
      <c r="B189" s="63"/>
      <c r="C189" s="63"/>
      <c r="D189" s="63"/>
      <c r="E189" s="63"/>
      <c r="F189" s="63"/>
      <c r="G189" s="63"/>
      <c r="H189" s="72"/>
      <c r="I189" s="72"/>
      <c r="J189" s="72"/>
      <c r="K189" s="72"/>
      <c r="L189" s="72"/>
      <c r="M189" s="72"/>
      <c r="N189" s="75"/>
    </row>
    <row r="190" spans="1:14" x14ac:dyDescent="0.3">
      <c r="A190" s="63"/>
      <c r="B190" s="63"/>
      <c r="C190" s="63"/>
      <c r="D190" s="63"/>
      <c r="E190" s="63"/>
      <c r="F190" s="63"/>
      <c r="G190" s="63"/>
      <c r="H190" s="72"/>
      <c r="I190" s="72"/>
      <c r="J190" s="72"/>
      <c r="K190" s="72"/>
      <c r="L190" s="72"/>
      <c r="M190" s="72"/>
      <c r="N190" s="75"/>
    </row>
    <row r="191" spans="1:14" x14ac:dyDescent="0.3">
      <c r="A191" s="63"/>
      <c r="B191" s="63"/>
      <c r="C191" s="63"/>
      <c r="D191" s="63"/>
      <c r="E191" s="63"/>
      <c r="F191" s="63"/>
      <c r="G191" s="63"/>
      <c r="H191" s="72"/>
      <c r="I191" s="72"/>
      <c r="J191" s="72"/>
      <c r="K191" s="72"/>
      <c r="L191" s="72"/>
      <c r="M191" s="72"/>
      <c r="N191" s="75"/>
    </row>
    <row r="192" spans="1:14" x14ac:dyDescent="0.3">
      <c r="A192" s="63"/>
      <c r="B192" s="63"/>
      <c r="C192" s="63"/>
      <c r="D192" s="63"/>
      <c r="E192" s="63"/>
      <c r="F192" s="63"/>
      <c r="G192" s="63"/>
      <c r="H192" s="72"/>
      <c r="I192" s="72"/>
      <c r="J192" s="72"/>
      <c r="K192" s="72"/>
      <c r="L192" s="72"/>
      <c r="M192" s="72"/>
      <c r="N192" s="75"/>
    </row>
    <row r="193" spans="1:14" x14ac:dyDescent="0.3">
      <c r="A193" s="63"/>
      <c r="B193" s="63"/>
      <c r="C193" s="63"/>
      <c r="D193" s="63"/>
      <c r="E193" s="63"/>
      <c r="F193" s="63"/>
      <c r="G193" s="63"/>
      <c r="H193" s="72"/>
      <c r="I193" s="72"/>
      <c r="J193" s="72"/>
      <c r="K193" s="72"/>
      <c r="L193" s="72"/>
      <c r="M193" s="72"/>
      <c r="N193" s="75"/>
    </row>
    <row r="194" spans="1:14" x14ac:dyDescent="0.3">
      <c r="A194" s="63"/>
      <c r="B194" s="63"/>
      <c r="C194" s="63"/>
      <c r="D194" s="63"/>
      <c r="E194" s="63"/>
      <c r="F194" s="63"/>
      <c r="G194" s="63"/>
      <c r="H194" s="72"/>
      <c r="I194" s="72"/>
      <c r="J194" s="72"/>
      <c r="K194" s="72"/>
      <c r="L194" s="72"/>
      <c r="M194" s="72"/>
      <c r="N194" s="75"/>
    </row>
    <row r="195" spans="1:14" x14ac:dyDescent="0.3">
      <c r="A195" s="63"/>
      <c r="B195" s="63"/>
      <c r="C195" s="63"/>
      <c r="D195" s="63"/>
      <c r="E195" s="63"/>
      <c r="F195" s="63"/>
      <c r="G195" s="63"/>
      <c r="H195" s="72"/>
      <c r="I195" s="72"/>
      <c r="J195" s="72"/>
      <c r="K195" s="72"/>
      <c r="L195" s="72"/>
      <c r="M195" s="72"/>
      <c r="N195" s="75"/>
    </row>
    <row r="196" spans="1:14" x14ac:dyDescent="0.3">
      <c r="A196" s="63"/>
      <c r="B196" s="63"/>
      <c r="C196" s="63"/>
      <c r="D196" s="63"/>
      <c r="E196" s="63"/>
      <c r="F196" s="63"/>
      <c r="G196" s="63"/>
      <c r="H196" s="72"/>
      <c r="I196" s="72"/>
      <c r="J196" s="72"/>
      <c r="K196" s="72"/>
      <c r="L196" s="72"/>
      <c r="M196" s="72"/>
      <c r="N196" s="75"/>
    </row>
    <row r="197" spans="1:14" x14ac:dyDescent="0.3">
      <c r="A197" s="63"/>
      <c r="B197" s="63"/>
      <c r="C197" s="63"/>
      <c r="D197" s="63"/>
      <c r="E197" s="63"/>
      <c r="F197" s="63"/>
      <c r="G197" s="63"/>
      <c r="H197" s="72"/>
      <c r="I197" s="72"/>
      <c r="J197" s="72"/>
      <c r="K197" s="72"/>
      <c r="L197" s="72"/>
      <c r="M197" s="72"/>
      <c r="N197" s="75"/>
    </row>
    <row r="198" spans="1:14" x14ac:dyDescent="0.3">
      <c r="A198" s="63"/>
      <c r="B198" s="63"/>
      <c r="C198" s="63"/>
      <c r="D198" s="63"/>
      <c r="E198" s="63"/>
      <c r="F198" s="63"/>
      <c r="G198" s="63"/>
      <c r="H198" s="72"/>
      <c r="I198" s="72"/>
      <c r="J198" s="72"/>
      <c r="K198" s="72"/>
      <c r="L198" s="72"/>
      <c r="M198" s="72"/>
      <c r="N198" s="75"/>
    </row>
    <row r="199" spans="1:14" x14ac:dyDescent="0.3">
      <c r="A199" s="63"/>
      <c r="B199" s="63"/>
      <c r="C199" s="63"/>
      <c r="D199" s="63"/>
      <c r="E199" s="63"/>
      <c r="F199" s="63"/>
      <c r="G199" s="63"/>
      <c r="H199" s="72"/>
      <c r="I199" s="72"/>
      <c r="J199" s="72"/>
      <c r="K199" s="72"/>
      <c r="L199" s="72"/>
      <c r="M199" s="72"/>
      <c r="N199" s="75"/>
    </row>
    <row r="200" spans="1:14" x14ac:dyDescent="0.3">
      <c r="A200" s="63"/>
      <c r="B200" s="63"/>
      <c r="C200" s="63"/>
      <c r="D200" s="63"/>
      <c r="E200" s="63"/>
      <c r="F200" s="63"/>
      <c r="G200" s="63"/>
      <c r="H200" s="72"/>
      <c r="I200" s="72"/>
      <c r="J200" s="72"/>
      <c r="K200" s="72"/>
      <c r="L200" s="72"/>
      <c r="M200" s="72"/>
      <c r="N200" s="75"/>
    </row>
    <row r="201" spans="1:14" x14ac:dyDescent="0.3">
      <c r="A201" s="63"/>
      <c r="B201" s="63"/>
      <c r="C201" s="63"/>
      <c r="D201" s="63"/>
      <c r="E201" s="63"/>
      <c r="F201" s="63"/>
      <c r="G201" s="63"/>
      <c r="H201" s="72"/>
      <c r="I201" s="72"/>
      <c r="J201" s="72"/>
      <c r="K201" s="72"/>
      <c r="L201" s="72"/>
      <c r="M201" s="72"/>
      <c r="N201" s="75"/>
    </row>
    <row r="202" spans="1:14" x14ac:dyDescent="0.3">
      <c r="A202" s="63"/>
      <c r="B202" s="63"/>
      <c r="C202" s="63"/>
      <c r="D202" s="63"/>
      <c r="E202" s="63"/>
      <c r="F202" s="63"/>
      <c r="G202" s="63"/>
      <c r="H202" s="72"/>
      <c r="I202" s="72"/>
      <c r="J202" s="72"/>
      <c r="K202" s="72"/>
      <c r="L202" s="72"/>
      <c r="M202" s="72"/>
      <c r="N202" s="75"/>
    </row>
    <row r="203" spans="1:14" x14ac:dyDescent="0.3">
      <c r="A203" s="63"/>
      <c r="B203" s="63"/>
      <c r="C203" s="63"/>
      <c r="D203" s="63"/>
      <c r="E203" s="63"/>
      <c r="F203" s="63"/>
      <c r="G203" s="63"/>
      <c r="H203" s="72"/>
      <c r="I203" s="72"/>
      <c r="J203" s="72"/>
      <c r="K203" s="72"/>
      <c r="L203" s="72"/>
      <c r="M203" s="72"/>
      <c r="N203" s="75"/>
    </row>
    <row r="204" spans="1:14" x14ac:dyDescent="0.3">
      <c r="A204" s="63"/>
      <c r="B204" s="63"/>
      <c r="C204" s="63"/>
      <c r="D204" s="63"/>
      <c r="E204" s="63"/>
      <c r="F204" s="63"/>
      <c r="G204" s="63"/>
      <c r="H204" s="72"/>
      <c r="I204" s="72"/>
      <c r="J204" s="72"/>
      <c r="K204" s="72"/>
      <c r="L204" s="72"/>
      <c r="M204" s="72"/>
      <c r="N204" s="75"/>
    </row>
    <row r="205" spans="1:14" x14ac:dyDescent="0.3">
      <c r="A205" s="63"/>
      <c r="B205" s="63"/>
      <c r="C205" s="63"/>
      <c r="D205" s="63"/>
      <c r="E205" s="63"/>
      <c r="F205" s="63"/>
      <c r="G205" s="63"/>
      <c r="H205" s="72"/>
      <c r="I205" s="72"/>
      <c r="J205" s="72"/>
      <c r="K205" s="72"/>
      <c r="L205" s="72"/>
      <c r="M205" s="72"/>
      <c r="N205" s="75"/>
    </row>
    <row r="206" spans="1:14" x14ac:dyDescent="0.3">
      <c r="A206" s="63"/>
      <c r="B206" s="63"/>
      <c r="C206" s="63"/>
      <c r="D206" s="63"/>
      <c r="E206" s="63"/>
      <c r="F206" s="63"/>
      <c r="G206" s="63"/>
      <c r="H206" s="72"/>
      <c r="I206" s="72"/>
      <c r="J206" s="72"/>
      <c r="K206" s="72"/>
      <c r="L206" s="72"/>
      <c r="M206" s="72"/>
      <c r="N206" s="75"/>
    </row>
    <row r="207" spans="1:14" x14ac:dyDescent="0.3">
      <c r="A207" s="63"/>
      <c r="B207" s="63"/>
      <c r="C207" s="63"/>
      <c r="D207" s="63"/>
      <c r="E207" s="63"/>
      <c r="F207" s="63"/>
      <c r="G207" s="63"/>
      <c r="H207" s="72"/>
      <c r="I207" s="72"/>
      <c r="J207" s="72"/>
      <c r="K207" s="72"/>
      <c r="L207" s="72"/>
      <c r="M207" s="72"/>
      <c r="N207" s="75"/>
    </row>
    <row r="208" spans="1:14" x14ac:dyDescent="0.3">
      <c r="A208" s="63"/>
      <c r="B208" s="63"/>
      <c r="C208" s="63"/>
      <c r="D208" s="63"/>
      <c r="E208" s="63"/>
      <c r="F208" s="63"/>
      <c r="G208" s="63"/>
      <c r="H208" s="72"/>
      <c r="I208" s="72"/>
      <c r="J208" s="72"/>
      <c r="K208" s="72"/>
      <c r="L208" s="72"/>
      <c r="M208" s="72"/>
      <c r="N208" s="75"/>
    </row>
    <row r="209" spans="1:14" x14ac:dyDescent="0.3">
      <c r="A209" s="63"/>
      <c r="B209" s="63"/>
      <c r="C209" s="63"/>
      <c r="D209" s="63"/>
      <c r="E209" s="63"/>
      <c r="F209" s="63"/>
      <c r="G209" s="63"/>
      <c r="H209" s="72"/>
      <c r="I209" s="72"/>
      <c r="J209" s="72"/>
      <c r="K209" s="72"/>
      <c r="L209" s="72"/>
      <c r="M209" s="72"/>
      <c r="N209" s="75"/>
    </row>
    <row r="210" spans="1:14" x14ac:dyDescent="0.3">
      <c r="A210" s="63"/>
      <c r="B210" s="63"/>
      <c r="C210" s="63"/>
      <c r="D210" s="63"/>
      <c r="E210" s="63"/>
      <c r="F210" s="63"/>
      <c r="G210" s="63"/>
      <c r="H210" s="72"/>
      <c r="I210" s="72"/>
      <c r="J210" s="72"/>
      <c r="K210" s="72"/>
      <c r="L210" s="72"/>
      <c r="M210" s="72"/>
      <c r="N210" s="75"/>
    </row>
    <row r="211" spans="1:14" x14ac:dyDescent="0.3">
      <c r="A211" s="63"/>
      <c r="B211" s="63"/>
      <c r="C211" s="63"/>
      <c r="D211" s="63"/>
      <c r="E211" s="63"/>
      <c r="F211" s="63"/>
      <c r="G211" s="63"/>
      <c r="H211" s="72"/>
      <c r="I211" s="72"/>
      <c r="J211" s="72"/>
      <c r="K211" s="72"/>
      <c r="L211" s="72"/>
      <c r="M211" s="72"/>
      <c r="N211" s="75"/>
    </row>
    <row r="212" spans="1:14" x14ac:dyDescent="0.3">
      <c r="A212" s="63"/>
      <c r="B212" s="63"/>
      <c r="C212" s="63"/>
      <c r="D212" s="63"/>
      <c r="E212" s="63"/>
      <c r="F212" s="63"/>
      <c r="G212" s="63"/>
      <c r="H212" s="72"/>
      <c r="I212" s="72"/>
      <c r="J212" s="72"/>
      <c r="K212" s="72"/>
      <c r="L212" s="72"/>
      <c r="M212" s="72"/>
      <c r="N212" s="75"/>
    </row>
    <row r="213" spans="1:14" x14ac:dyDescent="0.3">
      <c r="A213" s="63"/>
      <c r="B213" s="63"/>
      <c r="C213" s="63"/>
      <c r="D213" s="63"/>
      <c r="E213" s="63"/>
      <c r="F213" s="63"/>
      <c r="G213" s="63"/>
      <c r="H213" s="72"/>
      <c r="I213" s="72"/>
      <c r="J213" s="72"/>
      <c r="K213" s="72"/>
      <c r="L213" s="72"/>
      <c r="M213" s="72"/>
      <c r="N213" s="75"/>
    </row>
    <row r="214" spans="1:14" x14ac:dyDescent="0.3">
      <c r="A214" s="63"/>
      <c r="B214" s="63"/>
      <c r="C214" s="63"/>
      <c r="D214" s="63"/>
      <c r="E214" s="63"/>
      <c r="F214" s="63"/>
      <c r="G214" s="63"/>
      <c r="H214" s="72"/>
      <c r="I214" s="72"/>
      <c r="J214" s="72"/>
      <c r="K214" s="72"/>
      <c r="L214" s="72"/>
      <c r="M214" s="72"/>
      <c r="N214" s="75"/>
    </row>
    <row r="215" spans="1:14" x14ac:dyDescent="0.3">
      <c r="A215" s="63"/>
      <c r="B215" s="63"/>
      <c r="C215" s="63"/>
      <c r="D215" s="63"/>
      <c r="E215" s="63"/>
      <c r="F215" s="63"/>
      <c r="G215" s="63"/>
      <c r="H215" s="72"/>
      <c r="I215" s="72"/>
      <c r="J215" s="72"/>
      <c r="K215" s="72"/>
      <c r="L215" s="72"/>
      <c r="M215" s="72"/>
      <c r="N215" s="75"/>
    </row>
    <row r="216" spans="1:14" x14ac:dyDescent="0.3">
      <c r="A216" s="63"/>
      <c r="B216" s="63"/>
      <c r="C216" s="63"/>
      <c r="D216" s="63"/>
      <c r="E216" s="63"/>
      <c r="F216" s="63"/>
      <c r="G216" s="63"/>
      <c r="H216" s="72"/>
      <c r="I216" s="72"/>
      <c r="J216" s="72"/>
      <c r="K216" s="72"/>
      <c r="L216" s="72"/>
      <c r="M216" s="72"/>
      <c r="N216" s="75"/>
    </row>
    <row r="217" spans="1:14" x14ac:dyDescent="0.3">
      <c r="A217" s="63"/>
      <c r="B217" s="63"/>
      <c r="C217" s="63"/>
      <c r="D217" s="63"/>
      <c r="E217" s="63"/>
      <c r="F217" s="63"/>
      <c r="G217" s="63"/>
      <c r="H217" s="72"/>
      <c r="I217" s="72"/>
      <c r="J217" s="72"/>
      <c r="K217" s="72"/>
      <c r="L217" s="72"/>
      <c r="M217" s="72"/>
      <c r="N217" s="75"/>
    </row>
    <row r="218" spans="1:14" x14ac:dyDescent="0.3">
      <c r="A218" s="63"/>
      <c r="B218" s="63"/>
      <c r="C218" s="63"/>
      <c r="D218" s="63"/>
      <c r="E218" s="63"/>
      <c r="F218" s="63"/>
      <c r="G218" s="63"/>
      <c r="H218" s="72"/>
      <c r="I218" s="72"/>
      <c r="J218" s="72"/>
      <c r="K218" s="72"/>
      <c r="L218" s="72"/>
      <c r="M218" s="72"/>
      <c r="N218" s="75"/>
    </row>
    <row r="219" spans="1:14" x14ac:dyDescent="0.3">
      <c r="A219" s="63"/>
      <c r="B219" s="63"/>
      <c r="C219" s="63"/>
      <c r="D219" s="63"/>
      <c r="E219" s="63"/>
      <c r="F219" s="63"/>
      <c r="G219" s="63"/>
      <c r="H219" s="72"/>
      <c r="I219" s="72"/>
      <c r="J219" s="72"/>
      <c r="K219" s="72"/>
      <c r="L219" s="72"/>
      <c r="M219" s="72"/>
      <c r="N219" s="75"/>
    </row>
    <row r="220" spans="1:14" x14ac:dyDescent="0.3">
      <c r="A220" s="63"/>
      <c r="B220" s="63"/>
      <c r="C220" s="63"/>
      <c r="D220" s="63"/>
      <c r="E220" s="63"/>
      <c r="F220" s="63"/>
      <c r="G220" s="63"/>
      <c r="H220" s="72"/>
      <c r="I220" s="72"/>
      <c r="J220" s="72"/>
      <c r="K220" s="72"/>
      <c r="L220" s="72"/>
      <c r="M220" s="72"/>
      <c r="N220" s="75"/>
    </row>
  </sheetData>
  <mergeCells count="7">
    <mergeCell ref="A3:I3"/>
    <mergeCell ref="J6:M6"/>
    <mergeCell ref="A6:A7"/>
    <mergeCell ref="B6:C6"/>
    <mergeCell ref="D6:E6"/>
    <mergeCell ref="F6:G6"/>
    <mergeCell ref="H6:I6"/>
  </mergeCells>
  <pageMargins left="0.78740157480314965" right="0.39370078740157483" top="0.74803149606299213" bottom="0.74803149606299213" header="0.31496062992125984" footer="0.31496062992125984"/>
  <pageSetup paperSize="9" scale="9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0"/>
  <sheetViews>
    <sheetView workbookViewId="0">
      <selection activeCell="A3" sqref="A3:K3"/>
    </sheetView>
  </sheetViews>
  <sheetFormatPr defaultRowHeight="13.8" x14ac:dyDescent="0.25"/>
  <cols>
    <col min="1" max="1" width="48.21875" style="113" customWidth="1"/>
    <col min="2" max="2" width="3.21875" style="113" hidden="1" customWidth="1"/>
    <col min="3" max="4" width="12.21875" style="113" customWidth="1"/>
    <col min="5" max="5" width="11.109375" style="113" customWidth="1"/>
    <col min="6" max="6" width="9.5546875" style="113" bestFit="1" customWidth="1"/>
    <col min="7" max="7" width="13.5546875" style="113" customWidth="1"/>
    <col min="8" max="8" width="9.5546875" style="113" bestFit="1" customWidth="1"/>
    <col min="9" max="9" width="12.6640625" style="113" customWidth="1"/>
    <col min="10" max="10" width="9.5546875" style="113" bestFit="1" customWidth="1"/>
    <col min="11" max="11" width="11.33203125" style="113" customWidth="1"/>
    <col min="12" max="14" width="0" style="113" hidden="1" customWidth="1"/>
    <col min="15" max="16384" width="8.88671875" style="113"/>
  </cols>
  <sheetData>
    <row r="1" spans="1:13" x14ac:dyDescent="0.25">
      <c r="K1" s="225" t="s">
        <v>409</v>
      </c>
    </row>
    <row r="2" spans="1:13" x14ac:dyDescent="0.25">
      <c r="K2" s="114"/>
    </row>
    <row r="3" spans="1:13" x14ac:dyDescent="0.25">
      <c r="A3" s="279" t="s">
        <v>121</v>
      </c>
      <c r="B3" s="254"/>
      <c r="C3" s="254"/>
      <c r="D3" s="254"/>
      <c r="E3" s="254"/>
      <c r="F3" s="254"/>
      <c r="G3" s="254"/>
      <c r="H3" s="254"/>
      <c r="I3" s="254"/>
      <c r="J3" s="254"/>
      <c r="K3" s="254"/>
    </row>
    <row r="5" spans="1:13" ht="14.4" thickBot="1" x14ac:dyDescent="0.3">
      <c r="K5" s="225" t="s">
        <v>407</v>
      </c>
    </row>
    <row r="6" spans="1:13" ht="14.4" customHeight="1" thickTop="1" x14ac:dyDescent="0.25">
      <c r="A6" s="257" t="s">
        <v>122</v>
      </c>
      <c r="B6" s="255" t="s">
        <v>74</v>
      </c>
      <c r="C6" s="255" t="s">
        <v>123</v>
      </c>
      <c r="D6" s="255" t="s">
        <v>124</v>
      </c>
      <c r="E6" s="255" t="s">
        <v>125</v>
      </c>
      <c r="F6" s="252" t="s">
        <v>126</v>
      </c>
      <c r="G6" s="252"/>
      <c r="H6" s="252" t="s">
        <v>126</v>
      </c>
      <c r="I6" s="252"/>
      <c r="J6" s="252" t="s">
        <v>126</v>
      </c>
      <c r="K6" s="253"/>
    </row>
    <row r="7" spans="1:13" ht="60" customHeight="1" x14ac:dyDescent="0.25">
      <c r="A7" s="258"/>
      <c r="B7" s="256"/>
      <c r="C7" s="256"/>
      <c r="D7" s="256"/>
      <c r="E7" s="256"/>
      <c r="F7" s="196" t="s">
        <v>17</v>
      </c>
      <c r="G7" s="196" t="s">
        <v>143</v>
      </c>
      <c r="H7" s="196" t="s">
        <v>16</v>
      </c>
      <c r="I7" s="196" t="s">
        <v>144</v>
      </c>
      <c r="J7" s="196" t="s">
        <v>34</v>
      </c>
      <c r="K7" s="211" t="s">
        <v>145</v>
      </c>
    </row>
    <row r="8" spans="1:13" ht="9.6" customHeight="1" x14ac:dyDescent="0.25">
      <c r="A8" s="212" t="s">
        <v>23</v>
      </c>
      <c r="B8" s="115">
        <v>1</v>
      </c>
      <c r="C8" s="115">
        <v>1</v>
      </c>
      <c r="D8" s="115">
        <v>2</v>
      </c>
      <c r="E8" s="115">
        <v>3</v>
      </c>
      <c r="F8" s="115">
        <v>4</v>
      </c>
      <c r="G8" s="115" t="s">
        <v>127</v>
      </c>
      <c r="H8" s="115">
        <v>6</v>
      </c>
      <c r="I8" s="115" t="s">
        <v>128</v>
      </c>
      <c r="J8" s="115">
        <v>8</v>
      </c>
      <c r="K8" s="213" t="s">
        <v>129</v>
      </c>
      <c r="L8" s="116"/>
    </row>
    <row r="9" spans="1:13" ht="15" x14ac:dyDescent="0.25">
      <c r="A9" s="214" t="s">
        <v>91</v>
      </c>
      <c r="B9" s="117">
        <v>1</v>
      </c>
      <c r="C9" s="122">
        <v>1975.4023</v>
      </c>
      <c r="D9" s="123">
        <v>2341.7323000000001</v>
      </c>
      <c r="E9" s="123">
        <v>2350.2523099999999</v>
      </c>
      <c r="F9" s="123">
        <v>2309.4839000000002</v>
      </c>
      <c r="G9" s="123">
        <f>F9/E9*100</f>
        <v>98.265360283807155</v>
      </c>
      <c r="H9" s="124">
        <v>2166.9218000000001</v>
      </c>
      <c r="I9" s="124">
        <f>H9/F9*100</f>
        <v>93.82710137100328</v>
      </c>
      <c r="J9" s="124">
        <v>2146.5074</v>
      </c>
      <c r="K9" s="215">
        <f>J9/H9*100</f>
        <v>99.057907858050072</v>
      </c>
      <c r="L9" s="116">
        <f t="shared" ref="L9:L17" si="0">E9-F9</f>
        <v>40.768409999999676</v>
      </c>
      <c r="M9" s="113">
        <f>L9/E9*100</f>
        <v>1.7346397161928404</v>
      </c>
    </row>
    <row r="10" spans="1:13" ht="15" x14ac:dyDescent="0.25">
      <c r="A10" s="214" t="s">
        <v>130</v>
      </c>
      <c r="B10" s="117">
        <v>2</v>
      </c>
      <c r="C10" s="122">
        <v>30.8553</v>
      </c>
      <c r="D10" s="124">
        <v>30.8843</v>
      </c>
      <c r="E10" s="124">
        <v>31.272500000000001</v>
      </c>
      <c r="F10" s="124">
        <v>30.4133</v>
      </c>
      <c r="G10" s="123">
        <f t="shared" ref="G10:G21" si="1">F10/E10*100</f>
        <v>97.252538172515784</v>
      </c>
      <c r="H10" s="124">
        <v>30.4133</v>
      </c>
      <c r="I10" s="124">
        <f t="shared" ref="I10:I24" si="2">H10/F10*100</f>
        <v>100</v>
      </c>
      <c r="J10" s="124">
        <v>30.4133</v>
      </c>
      <c r="K10" s="215">
        <f t="shared" ref="K10:K21" si="3">J10/H10*100</f>
        <v>100</v>
      </c>
      <c r="L10" s="116">
        <f t="shared" si="0"/>
        <v>0.8592000000000013</v>
      </c>
      <c r="M10" s="113">
        <f t="shared" ref="M10:M22" si="4">L10/E10*100</f>
        <v>2.7474618274842157</v>
      </c>
    </row>
    <row r="11" spans="1:13" ht="26.4" x14ac:dyDescent="0.25">
      <c r="A11" s="214" t="s">
        <v>99</v>
      </c>
      <c r="B11" s="117">
        <v>3</v>
      </c>
      <c r="C11" s="122">
        <v>1087.2123999999999</v>
      </c>
      <c r="D11" s="124">
        <v>1133.9268</v>
      </c>
      <c r="E11" s="124">
        <v>1075.6327000000001</v>
      </c>
      <c r="F11" s="124">
        <v>1056.9212</v>
      </c>
      <c r="G11" s="123">
        <f t="shared" si="1"/>
        <v>98.26041919328037</v>
      </c>
      <c r="H11" s="124">
        <v>1093.4512999999999</v>
      </c>
      <c r="I11" s="124">
        <f t="shared" si="2"/>
        <v>103.45627469673235</v>
      </c>
      <c r="J11" s="124">
        <v>1119.5029</v>
      </c>
      <c r="K11" s="215">
        <f t="shared" si="3"/>
        <v>102.38251122843789</v>
      </c>
      <c r="L11" s="116">
        <f t="shared" si="0"/>
        <v>18.711500000000115</v>
      </c>
      <c r="M11" s="113">
        <f t="shared" si="4"/>
        <v>1.7395808067196279</v>
      </c>
    </row>
    <row r="12" spans="1:13" ht="15" x14ac:dyDescent="0.25">
      <c r="A12" s="214" t="s">
        <v>101</v>
      </c>
      <c r="B12" s="117">
        <v>4</v>
      </c>
      <c r="C12" s="122">
        <v>8445.7361999999994</v>
      </c>
      <c r="D12" s="124">
        <v>8445.9069</v>
      </c>
      <c r="E12" s="124">
        <v>9527.7896999999994</v>
      </c>
      <c r="F12" s="124">
        <v>7935.5140000000001</v>
      </c>
      <c r="G12" s="123">
        <f t="shared" si="1"/>
        <v>83.288089366624035</v>
      </c>
      <c r="H12" s="124">
        <v>8182.1770999999999</v>
      </c>
      <c r="I12" s="124">
        <f t="shared" si="2"/>
        <v>103.10834433661134</v>
      </c>
      <c r="J12" s="124">
        <v>8352.3590999999997</v>
      </c>
      <c r="K12" s="215">
        <f t="shared" si="3"/>
        <v>102.0799109811495</v>
      </c>
      <c r="L12" s="116">
        <f t="shared" si="0"/>
        <v>1592.2756999999992</v>
      </c>
      <c r="M12" s="113">
        <f t="shared" si="4"/>
        <v>16.711910633375958</v>
      </c>
    </row>
    <row r="13" spans="1:13" ht="15" x14ac:dyDescent="0.25">
      <c r="A13" s="214" t="s">
        <v>109</v>
      </c>
      <c r="B13" s="117">
        <v>5</v>
      </c>
      <c r="C13" s="122">
        <v>5937.5819000000001</v>
      </c>
      <c r="D13" s="124">
        <v>5737.9233999999997</v>
      </c>
      <c r="E13" s="124">
        <v>7542.1238999999996</v>
      </c>
      <c r="F13" s="124">
        <v>3753.6228999999998</v>
      </c>
      <c r="G13" s="123">
        <f t="shared" si="1"/>
        <v>49.768777996341321</v>
      </c>
      <c r="H13" s="124">
        <v>3327.5302999999999</v>
      </c>
      <c r="I13" s="124">
        <f t="shared" si="2"/>
        <v>88.648497428977208</v>
      </c>
      <c r="J13" s="124">
        <v>3239.2152000000001</v>
      </c>
      <c r="K13" s="215">
        <f t="shared" si="3"/>
        <v>97.345926496897718</v>
      </c>
      <c r="L13" s="116">
        <f t="shared" si="0"/>
        <v>3788.5009999999997</v>
      </c>
      <c r="M13" s="113">
        <f t="shared" si="4"/>
        <v>50.231222003658679</v>
      </c>
    </row>
    <row r="14" spans="1:13" ht="15" x14ac:dyDescent="0.25">
      <c r="A14" s="214" t="s">
        <v>131</v>
      </c>
      <c r="B14" s="117">
        <v>6</v>
      </c>
      <c r="C14" s="122">
        <v>73.099699999999999</v>
      </c>
      <c r="D14" s="124">
        <v>56.484699999999997</v>
      </c>
      <c r="E14" s="124">
        <v>62.7102</v>
      </c>
      <c r="F14" s="124">
        <v>53.447800000000001</v>
      </c>
      <c r="G14" s="123">
        <f t="shared" si="1"/>
        <v>85.229835018864549</v>
      </c>
      <c r="H14" s="124">
        <v>98.128799999999998</v>
      </c>
      <c r="I14" s="124">
        <f t="shared" si="2"/>
        <v>183.59745396442884</v>
      </c>
      <c r="J14" s="124">
        <v>58.872799999999998</v>
      </c>
      <c r="K14" s="215">
        <f t="shared" si="3"/>
        <v>59.995434571705751</v>
      </c>
      <c r="L14" s="116">
        <f t="shared" si="0"/>
        <v>9.2623999999999995</v>
      </c>
      <c r="M14" s="113">
        <f t="shared" si="4"/>
        <v>14.770164981135444</v>
      </c>
    </row>
    <row r="15" spans="1:13" ht="15" x14ac:dyDescent="0.25">
      <c r="A15" s="214" t="s">
        <v>111</v>
      </c>
      <c r="B15" s="117">
        <v>7</v>
      </c>
      <c r="C15" s="122">
        <v>20096.133300000001</v>
      </c>
      <c r="D15" s="124">
        <v>18091.386900000001</v>
      </c>
      <c r="E15" s="124">
        <v>17522.196100000001</v>
      </c>
      <c r="F15" s="124">
        <v>16998.0268</v>
      </c>
      <c r="G15" s="123">
        <f t="shared" si="1"/>
        <v>97.008541069803456</v>
      </c>
      <c r="H15" s="124">
        <v>17764.182000000001</v>
      </c>
      <c r="I15" s="124">
        <f t="shared" si="2"/>
        <v>104.50731846122281</v>
      </c>
      <c r="J15" s="124">
        <v>17845.992699999999</v>
      </c>
      <c r="K15" s="215">
        <f t="shared" si="3"/>
        <v>100.46053738922511</v>
      </c>
      <c r="L15" s="116">
        <f t="shared" si="0"/>
        <v>524.16930000000139</v>
      </c>
      <c r="M15" s="113">
        <f t="shared" si="4"/>
        <v>2.9914589301965484</v>
      </c>
    </row>
    <row r="16" spans="1:13" ht="15" x14ac:dyDescent="0.25">
      <c r="A16" s="214" t="s">
        <v>113</v>
      </c>
      <c r="B16" s="117">
        <v>8</v>
      </c>
      <c r="C16" s="122">
        <v>649.28959999999995</v>
      </c>
      <c r="D16" s="124">
        <v>754.65089999999998</v>
      </c>
      <c r="E16" s="124">
        <v>709.91800000000001</v>
      </c>
      <c r="F16" s="124">
        <v>654.41499999999996</v>
      </c>
      <c r="G16" s="123">
        <f t="shared" si="1"/>
        <v>92.181773106189723</v>
      </c>
      <c r="H16" s="124">
        <v>610.98779999999999</v>
      </c>
      <c r="I16" s="124">
        <f t="shared" si="2"/>
        <v>93.36396629050374</v>
      </c>
      <c r="J16" s="124">
        <v>647.27949999999998</v>
      </c>
      <c r="K16" s="215">
        <f t="shared" si="3"/>
        <v>105.93984036997138</v>
      </c>
      <c r="L16" s="116">
        <f t="shared" si="0"/>
        <v>55.503000000000043</v>
      </c>
      <c r="M16" s="113">
        <f t="shared" si="4"/>
        <v>7.8182268938102775</v>
      </c>
    </row>
    <row r="17" spans="1:14" ht="15" x14ac:dyDescent="0.25">
      <c r="A17" s="214" t="s">
        <v>115</v>
      </c>
      <c r="B17" s="117">
        <v>9</v>
      </c>
      <c r="C17" s="122">
        <v>12765.455400000001</v>
      </c>
      <c r="D17" s="124">
        <v>13968.587</v>
      </c>
      <c r="E17" s="124">
        <v>12071.308800000001</v>
      </c>
      <c r="F17" s="124">
        <v>11987.8199</v>
      </c>
      <c r="G17" s="123">
        <f t="shared" si="1"/>
        <v>99.308369114043373</v>
      </c>
      <c r="H17" s="124">
        <v>11606.947899999999</v>
      </c>
      <c r="I17" s="124">
        <f t="shared" si="2"/>
        <v>96.822841824642353</v>
      </c>
      <c r="J17" s="124">
        <v>12020.823200000001</v>
      </c>
      <c r="K17" s="215">
        <f t="shared" si="3"/>
        <v>103.56575478382221</v>
      </c>
      <c r="L17" s="116">
        <f t="shared" si="0"/>
        <v>83.488900000000285</v>
      </c>
      <c r="M17" s="113">
        <f>L17/E17*100</f>
        <v>0.69163088595662703</v>
      </c>
    </row>
    <row r="18" spans="1:14" ht="15" x14ac:dyDescent="0.25">
      <c r="A18" s="214" t="s">
        <v>132</v>
      </c>
      <c r="B18" s="117">
        <v>10</v>
      </c>
      <c r="C18" s="122">
        <v>12136.1828</v>
      </c>
      <c r="D18" s="124">
        <v>12078.5124</v>
      </c>
      <c r="E18" s="124">
        <v>12205.093800000001</v>
      </c>
      <c r="F18" s="124">
        <v>12239.466200000001</v>
      </c>
      <c r="G18" s="123">
        <f t="shared" si="1"/>
        <v>100.28162339891236</v>
      </c>
      <c r="H18" s="124">
        <v>12510.2783</v>
      </c>
      <c r="I18" s="124">
        <f t="shared" si="2"/>
        <v>102.21261365140253</v>
      </c>
      <c r="J18" s="124">
        <v>12891.1949</v>
      </c>
      <c r="K18" s="215">
        <f t="shared" si="3"/>
        <v>103.0448291466066</v>
      </c>
      <c r="L18" s="116"/>
      <c r="M18" s="116">
        <f>F18-E18</f>
        <v>34.372400000000198</v>
      </c>
      <c r="N18" s="116">
        <f>M18/E18*100</f>
        <v>0.28162339891234756</v>
      </c>
    </row>
    <row r="19" spans="1:14" ht="15" x14ac:dyDescent="0.25">
      <c r="A19" s="214" t="s">
        <v>133</v>
      </c>
      <c r="B19" s="117">
        <v>11</v>
      </c>
      <c r="C19" s="122">
        <v>871.97400000000005</v>
      </c>
      <c r="D19" s="124">
        <v>609.928</v>
      </c>
      <c r="E19" s="124">
        <v>499.1386</v>
      </c>
      <c r="F19" s="124">
        <v>334.79680000000002</v>
      </c>
      <c r="G19" s="123">
        <f t="shared" si="1"/>
        <v>67.074916666432941</v>
      </c>
      <c r="H19" s="124">
        <v>354.94389999999999</v>
      </c>
      <c r="I19" s="124">
        <f t="shared" si="2"/>
        <v>106.01770984668907</v>
      </c>
      <c r="J19" s="124">
        <v>412.12060000000002</v>
      </c>
      <c r="K19" s="215">
        <f t="shared" si="3"/>
        <v>116.10865829783243</v>
      </c>
      <c r="L19" s="116">
        <f>E19-F19</f>
        <v>164.34179999999998</v>
      </c>
      <c r="M19" s="113">
        <f t="shared" si="4"/>
        <v>32.925083333567066</v>
      </c>
    </row>
    <row r="20" spans="1:14" ht="15" x14ac:dyDescent="0.25">
      <c r="A20" s="214" t="s">
        <v>117</v>
      </c>
      <c r="B20" s="117">
        <v>12</v>
      </c>
      <c r="C20" s="122">
        <v>96.098399999999998</v>
      </c>
      <c r="D20" s="124">
        <v>89.654899999999998</v>
      </c>
      <c r="E20" s="124">
        <v>92.752399999999994</v>
      </c>
      <c r="F20" s="124">
        <v>78.647199999999998</v>
      </c>
      <c r="G20" s="123">
        <f t="shared" si="1"/>
        <v>84.792630702817391</v>
      </c>
      <c r="H20" s="124">
        <v>67.989099999999993</v>
      </c>
      <c r="I20" s="124">
        <f t="shared" si="2"/>
        <v>86.448214303878572</v>
      </c>
      <c r="J20" s="124">
        <v>75.892700000000005</v>
      </c>
      <c r="K20" s="215">
        <f t="shared" si="3"/>
        <v>111.62480456426105</v>
      </c>
      <c r="L20" s="116">
        <f>E20-F20</f>
        <v>14.105199999999996</v>
      </c>
      <c r="M20" s="113">
        <f t="shared" si="4"/>
        <v>15.207369297182606</v>
      </c>
    </row>
    <row r="21" spans="1:14" ht="26.4" x14ac:dyDescent="0.25">
      <c r="A21" s="214" t="s">
        <v>134</v>
      </c>
      <c r="B21" s="117">
        <v>13</v>
      </c>
      <c r="C21" s="122">
        <v>1654.5398</v>
      </c>
      <c r="D21" s="124">
        <v>1413.9712999999999</v>
      </c>
      <c r="E21" s="124">
        <v>1230.1610000000001</v>
      </c>
      <c r="F21" s="124">
        <v>1179.5250000000001</v>
      </c>
      <c r="G21" s="123">
        <f t="shared" si="1"/>
        <v>95.883790820876285</v>
      </c>
      <c r="H21" s="124">
        <v>1479.425</v>
      </c>
      <c r="I21" s="124">
        <f t="shared" si="2"/>
        <v>125.42548907399163</v>
      </c>
      <c r="J21" s="124">
        <v>1479.8150000000001</v>
      </c>
      <c r="K21" s="215">
        <f t="shared" si="3"/>
        <v>100.02636159318654</v>
      </c>
      <c r="L21" s="116">
        <f>E21-F21</f>
        <v>50.635999999999967</v>
      </c>
      <c r="M21" s="113">
        <f t="shared" si="4"/>
        <v>4.1162091791237057</v>
      </c>
    </row>
    <row r="22" spans="1:14" ht="39.6" x14ac:dyDescent="0.25">
      <c r="A22" s="214" t="s">
        <v>135</v>
      </c>
      <c r="B22" s="117">
        <v>14</v>
      </c>
      <c r="C22" s="122">
        <v>4084.3951000000002</v>
      </c>
      <c r="D22" s="124">
        <v>3201.8793000000001</v>
      </c>
      <c r="E22" s="124">
        <v>3480.6945000000001</v>
      </c>
      <c r="F22" s="124">
        <v>3093.797</v>
      </c>
      <c r="G22" s="123">
        <f>F22/E22*100</f>
        <v>88.88447406113923</v>
      </c>
      <c r="H22" s="124">
        <v>2381.4178000000002</v>
      </c>
      <c r="I22" s="124">
        <f t="shared" si="2"/>
        <v>76.973951426030865</v>
      </c>
      <c r="J22" s="124">
        <v>2622.5131999999999</v>
      </c>
      <c r="K22" s="215">
        <f>J22/H22*100</f>
        <v>110.12402779554262</v>
      </c>
      <c r="L22" s="116">
        <f>E22-F22</f>
        <v>386.89750000000004</v>
      </c>
      <c r="M22" s="113">
        <f t="shared" si="4"/>
        <v>11.115525938860765</v>
      </c>
    </row>
    <row r="23" spans="1:14" x14ac:dyDescent="0.25">
      <c r="A23" s="214" t="s">
        <v>136</v>
      </c>
      <c r="B23" s="117"/>
      <c r="C23" s="124"/>
      <c r="D23" s="124"/>
      <c r="E23" s="124"/>
      <c r="F23" s="124"/>
      <c r="G23" s="124"/>
      <c r="H23" s="124">
        <v>1465.3623</v>
      </c>
      <c r="I23" s="124"/>
      <c r="J23" s="124">
        <v>3070.7460999999998</v>
      </c>
      <c r="K23" s="215"/>
      <c r="L23" s="116">
        <f>E23-F23</f>
        <v>0</v>
      </c>
    </row>
    <row r="24" spans="1:14" x14ac:dyDescent="0.25">
      <c r="A24" s="216" t="s">
        <v>137</v>
      </c>
      <c r="B24" s="118" t="s">
        <v>138</v>
      </c>
      <c r="C24" s="125">
        <f>SUM(C9:C22)</f>
        <v>69903.956200000001</v>
      </c>
      <c r="D24" s="125">
        <f>SUM(D9:D22)</f>
        <v>67955.429099999994</v>
      </c>
      <c r="E24" s="125">
        <f>SUM(E9:E22)</f>
        <v>68401.044509999992</v>
      </c>
      <c r="F24" s="125">
        <f>SUM(F9:F22)</f>
        <v>61705.896999999997</v>
      </c>
      <c r="G24" s="127">
        <f>F24/E24*100</f>
        <v>90.211922116158348</v>
      </c>
      <c r="H24" s="125">
        <f>SUM(H9:H23)</f>
        <v>63140.156700000007</v>
      </c>
      <c r="I24" s="128">
        <f t="shared" si="2"/>
        <v>102.32434786581257</v>
      </c>
      <c r="J24" s="125">
        <f>SUM(J9:J23)</f>
        <v>66013.248600000006</v>
      </c>
      <c r="K24" s="217">
        <f>J24/H24*100</f>
        <v>104.5503401482689</v>
      </c>
      <c r="L24" s="120">
        <f>SUM(L9:L23)</f>
        <v>6729.51991</v>
      </c>
      <c r="M24" s="119">
        <f>SUM(M9:M23)</f>
        <v>197.17288442726456</v>
      </c>
    </row>
    <row r="25" spans="1:14" x14ac:dyDescent="0.25">
      <c r="A25" s="214" t="s">
        <v>139</v>
      </c>
      <c r="B25" s="195"/>
      <c r="C25" s="126"/>
      <c r="D25" s="126"/>
      <c r="E25" s="126"/>
      <c r="F25" s="126"/>
      <c r="G25" s="126"/>
      <c r="H25" s="126"/>
      <c r="I25" s="126"/>
      <c r="J25" s="126"/>
      <c r="K25" s="218"/>
      <c r="L25" s="116">
        <f>L24+M24</f>
        <v>6926.6927944272647</v>
      </c>
    </row>
    <row r="26" spans="1:14" x14ac:dyDescent="0.25">
      <c r="A26" s="219" t="s">
        <v>140</v>
      </c>
      <c r="B26" s="195"/>
      <c r="C26" s="126">
        <f>C15+C16+C17+C18+C19</f>
        <v>46519.035100000008</v>
      </c>
      <c r="D26" s="126">
        <f>D15+D16+D17+D18+D19</f>
        <v>45503.065200000005</v>
      </c>
      <c r="E26" s="126">
        <f t="shared" ref="E26:J26" si="5">E15+E16+E17+E18+E19</f>
        <v>43007.655300000006</v>
      </c>
      <c r="F26" s="126">
        <f t="shared" si="5"/>
        <v>42214.524700000002</v>
      </c>
      <c r="G26" s="123">
        <f>F26/E26*100</f>
        <v>98.155838549050117</v>
      </c>
      <c r="H26" s="126">
        <f t="shared" si="5"/>
        <v>42847.339899999999</v>
      </c>
      <c r="I26" s="124">
        <f t="shared" ref="I26" si="6">H26/F26*100</f>
        <v>101.49904613281124</v>
      </c>
      <c r="J26" s="126">
        <f t="shared" si="5"/>
        <v>43817.410900000003</v>
      </c>
      <c r="K26" s="215">
        <f>J26/H26*100</f>
        <v>102.26401686140613</v>
      </c>
      <c r="L26" s="121">
        <f>L25/E24*100</f>
        <v>10.126589212266497</v>
      </c>
    </row>
    <row r="27" spans="1:14" x14ac:dyDescent="0.25">
      <c r="A27" s="214" t="s">
        <v>141</v>
      </c>
      <c r="B27" s="195"/>
      <c r="C27" s="126">
        <f>C26/C24*100</f>
        <v>66.547070622020115</v>
      </c>
      <c r="D27" s="126">
        <f>D26/D24*100</f>
        <v>66.960161686330977</v>
      </c>
      <c r="E27" s="126">
        <f t="shared" ref="E27:J27" si="7">E26/E24*100</f>
        <v>62.875728884099772</v>
      </c>
      <c r="F27" s="126">
        <f t="shared" si="7"/>
        <v>68.412464209052828</v>
      </c>
      <c r="G27" s="126"/>
      <c r="H27" s="126">
        <f t="shared" si="7"/>
        <v>67.860680333091409</v>
      </c>
      <c r="I27" s="126"/>
      <c r="J27" s="126">
        <f t="shared" si="7"/>
        <v>66.376692299309141</v>
      </c>
      <c r="K27" s="218"/>
      <c r="L27" s="121">
        <f>L24/E24*100</f>
        <v>9.8383291632573933</v>
      </c>
    </row>
    <row r="28" spans="1:14" x14ac:dyDescent="0.25">
      <c r="A28" s="220" t="s">
        <v>142</v>
      </c>
      <c r="B28" s="195"/>
      <c r="C28" s="126">
        <f>C12+C13</f>
        <v>14383.3181</v>
      </c>
      <c r="D28" s="126">
        <f>D12+D13</f>
        <v>14183.8303</v>
      </c>
      <c r="E28" s="126">
        <f t="shared" ref="E28:J28" si="8">E12+E13</f>
        <v>17069.9136</v>
      </c>
      <c r="F28" s="126">
        <f t="shared" si="8"/>
        <v>11689.1369</v>
      </c>
      <c r="G28" s="126">
        <f>F28/E28*100</f>
        <v>68.47800858230471</v>
      </c>
      <c r="H28" s="126">
        <f t="shared" si="8"/>
        <v>11509.707399999999</v>
      </c>
      <c r="I28" s="126">
        <f t="shared" ref="I28" si="9">H28/F28*100</f>
        <v>98.464989318415803</v>
      </c>
      <c r="J28" s="126">
        <f t="shared" si="8"/>
        <v>11591.5743</v>
      </c>
      <c r="K28" s="218">
        <f>J28/H28*100</f>
        <v>100.71128567525531</v>
      </c>
      <c r="L28" s="116">
        <f>L27+N18</f>
        <v>10.119952562169741</v>
      </c>
    </row>
    <row r="29" spans="1:14" ht="14.4" thickBot="1" x14ac:dyDescent="0.3">
      <c r="A29" s="221" t="s">
        <v>141</v>
      </c>
      <c r="B29" s="222"/>
      <c r="C29" s="223">
        <f>C28/C24*100</f>
        <v>20.575828439306559</v>
      </c>
      <c r="D29" s="223">
        <f>D28/D24*100</f>
        <v>20.87225478206862</v>
      </c>
      <c r="E29" s="223">
        <f t="shared" ref="E29:J29" si="10">E28/E24*100</f>
        <v>24.955632947248983</v>
      </c>
      <c r="F29" s="223">
        <f t="shared" si="10"/>
        <v>18.943306018223836</v>
      </c>
      <c r="G29" s="223"/>
      <c r="H29" s="223">
        <f t="shared" si="10"/>
        <v>18.228822989284723</v>
      </c>
      <c r="I29" s="223"/>
      <c r="J29" s="223">
        <f t="shared" si="10"/>
        <v>17.559466540175695</v>
      </c>
      <c r="K29" s="224"/>
    </row>
    <row r="30" spans="1:14" ht="14.4" thickTop="1" x14ac:dyDescent="0.25"/>
  </sheetData>
  <mergeCells count="9">
    <mergeCell ref="H6:I6"/>
    <mergeCell ref="J6:K6"/>
    <mergeCell ref="A3:K3"/>
    <mergeCell ref="B6:B7"/>
    <mergeCell ref="A6:A7"/>
    <mergeCell ref="C6:C7"/>
    <mergeCell ref="D6:D7"/>
    <mergeCell ref="E6:E7"/>
    <mergeCell ref="F6:G6"/>
  </mergeCells>
  <pageMargins left="0.39370078740157483" right="0.39370078740157483" top="0.74803149606299213" bottom="0.74803149606299213" header="0.31496062992125984" footer="0.31496062992125984"/>
  <pageSetup paperSize="9" scale="9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37"/>
  <sheetViews>
    <sheetView topLeftCell="A4" zoomScaleNormal="100" workbookViewId="0">
      <pane xSplit="1" ySplit="4" topLeftCell="B8" activePane="bottomRight" state="frozen"/>
      <selection activeCell="A4" sqref="A4"/>
      <selection pane="topRight" activeCell="B4" sqref="B4"/>
      <selection pane="bottomLeft" activeCell="A8" sqref="A8"/>
      <selection pane="bottomRight" activeCell="A3" sqref="A3:AM3"/>
    </sheetView>
  </sheetViews>
  <sheetFormatPr defaultColWidth="9.109375" defaultRowHeight="13.8" x14ac:dyDescent="0.3"/>
  <cols>
    <col min="1" max="1" width="48.44140625" style="95" customWidth="1"/>
    <col min="2" max="2" width="4.109375" style="95" customWidth="1"/>
    <col min="3" max="3" width="4.88671875" style="95" customWidth="1"/>
    <col min="4" max="7" width="0" style="96" hidden="1" customWidth="1"/>
    <col min="8" max="8" width="7.6640625" style="96" bestFit="1" customWidth="1"/>
    <col min="9" max="11" width="9.109375" style="96"/>
    <col min="12" max="15" width="0" style="96" hidden="1" customWidth="1"/>
    <col min="16" max="16" width="7.6640625" style="96" bestFit="1" customWidth="1"/>
    <col min="17" max="19" width="9.109375" style="96"/>
    <col min="20" max="20" width="7.6640625" style="96" bestFit="1" customWidth="1"/>
    <col min="21" max="23" width="9.109375" style="96"/>
    <col min="24" max="35" width="0" style="96" hidden="1" customWidth="1"/>
    <col min="36" max="36" width="7.77734375" style="96" bestFit="1" customWidth="1"/>
    <col min="37" max="16384" width="9.109375" style="96"/>
  </cols>
  <sheetData>
    <row r="1" spans="1:57" x14ac:dyDescent="0.3">
      <c r="AK1" s="259" t="s">
        <v>414</v>
      </c>
      <c r="AL1" s="259"/>
      <c r="AM1" s="259"/>
    </row>
    <row r="3" spans="1:57" s="95" customFormat="1" ht="15.6" customHeight="1" x14ac:dyDescent="0.3">
      <c r="A3" s="262" t="s">
        <v>415</v>
      </c>
      <c r="B3" s="262"/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2"/>
      <c r="O3" s="262"/>
      <c r="P3" s="262"/>
      <c r="Q3" s="262"/>
      <c r="R3" s="262"/>
      <c r="S3" s="262"/>
      <c r="T3" s="262"/>
      <c r="U3" s="262"/>
      <c r="V3" s="262"/>
      <c r="W3" s="262"/>
      <c r="X3" s="262"/>
      <c r="Y3" s="262"/>
      <c r="Z3" s="262"/>
      <c r="AA3" s="262"/>
      <c r="AB3" s="262"/>
      <c r="AC3" s="262"/>
      <c r="AD3" s="262"/>
      <c r="AE3" s="262"/>
      <c r="AF3" s="262"/>
      <c r="AG3" s="262"/>
      <c r="AH3" s="262"/>
      <c r="AI3" s="262"/>
      <c r="AJ3" s="262"/>
      <c r="AK3" s="262"/>
      <c r="AL3" s="262"/>
      <c r="AM3" s="262"/>
    </row>
    <row r="4" spans="1:57" s="95" customFormat="1" ht="14.4" thickBot="1" x14ac:dyDescent="0.3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AK4" s="260" t="s">
        <v>73</v>
      </c>
      <c r="AL4" s="260"/>
      <c r="AM4" s="260"/>
    </row>
    <row r="5" spans="1:57" s="52" customFormat="1" ht="38.25" customHeight="1" thickTop="1" x14ac:dyDescent="0.3">
      <c r="A5" s="250" t="s">
        <v>0</v>
      </c>
      <c r="B5" s="248" t="s">
        <v>74</v>
      </c>
      <c r="C5" s="248" t="s">
        <v>75</v>
      </c>
      <c r="D5" s="248" t="s">
        <v>76</v>
      </c>
      <c r="E5" s="248"/>
      <c r="F5" s="248"/>
      <c r="G5" s="248"/>
      <c r="H5" s="248" t="s">
        <v>77</v>
      </c>
      <c r="I5" s="248"/>
      <c r="J5" s="248"/>
      <c r="K5" s="248"/>
      <c r="L5" s="248" t="s">
        <v>78</v>
      </c>
      <c r="M5" s="248"/>
      <c r="N5" s="248"/>
      <c r="O5" s="248"/>
      <c r="P5" s="248" t="s">
        <v>79</v>
      </c>
      <c r="Q5" s="248"/>
      <c r="R5" s="248"/>
      <c r="S5" s="248"/>
      <c r="T5" s="248" t="s">
        <v>80</v>
      </c>
      <c r="U5" s="248"/>
      <c r="V5" s="248"/>
      <c r="W5" s="248"/>
      <c r="X5" s="248" t="s">
        <v>81</v>
      </c>
      <c r="Y5" s="248"/>
      <c r="Z5" s="248"/>
      <c r="AA5" s="248"/>
      <c r="AB5" s="248" t="s">
        <v>82</v>
      </c>
      <c r="AC5" s="248"/>
      <c r="AD5" s="248"/>
      <c r="AE5" s="248"/>
      <c r="AF5" s="248" t="s">
        <v>83</v>
      </c>
      <c r="AG5" s="248"/>
      <c r="AH5" s="248"/>
      <c r="AI5" s="248"/>
      <c r="AJ5" s="248" t="s">
        <v>84</v>
      </c>
      <c r="AK5" s="248"/>
      <c r="AL5" s="248"/>
      <c r="AM5" s="249"/>
    </row>
    <row r="6" spans="1:57" s="52" customFormat="1" ht="13.2" x14ac:dyDescent="0.3">
      <c r="A6" s="251"/>
      <c r="B6" s="261"/>
      <c r="C6" s="261"/>
      <c r="D6" s="261" t="s">
        <v>85</v>
      </c>
      <c r="E6" s="261" t="s">
        <v>86</v>
      </c>
      <c r="F6" s="261"/>
      <c r="G6" s="261"/>
      <c r="H6" s="261" t="s">
        <v>85</v>
      </c>
      <c r="I6" s="261" t="s">
        <v>86</v>
      </c>
      <c r="J6" s="261"/>
      <c r="K6" s="261"/>
      <c r="L6" s="261" t="s">
        <v>85</v>
      </c>
      <c r="M6" s="261" t="s">
        <v>86</v>
      </c>
      <c r="N6" s="261"/>
      <c r="O6" s="261"/>
      <c r="P6" s="261" t="s">
        <v>85</v>
      </c>
      <c r="Q6" s="261" t="s">
        <v>86</v>
      </c>
      <c r="R6" s="261"/>
      <c r="S6" s="261"/>
      <c r="T6" s="261" t="s">
        <v>85</v>
      </c>
      <c r="U6" s="261" t="s">
        <v>86</v>
      </c>
      <c r="V6" s="261"/>
      <c r="W6" s="261"/>
      <c r="X6" s="261" t="s">
        <v>85</v>
      </c>
      <c r="Y6" s="261" t="s">
        <v>86</v>
      </c>
      <c r="Z6" s="261"/>
      <c r="AA6" s="261"/>
      <c r="AB6" s="261" t="s">
        <v>85</v>
      </c>
      <c r="AC6" s="261" t="s">
        <v>86</v>
      </c>
      <c r="AD6" s="261"/>
      <c r="AE6" s="261"/>
      <c r="AF6" s="261" t="s">
        <v>85</v>
      </c>
      <c r="AG6" s="261" t="s">
        <v>86</v>
      </c>
      <c r="AH6" s="261"/>
      <c r="AI6" s="261"/>
      <c r="AJ6" s="261" t="s">
        <v>85</v>
      </c>
      <c r="AK6" s="261" t="s">
        <v>86</v>
      </c>
      <c r="AL6" s="261"/>
      <c r="AM6" s="263"/>
    </row>
    <row r="7" spans="1:57" s="52" customFormat="1" ht="52.8" x14ac:dyDescent="0.3">
      <c r="A7" s="251"/>
      <c r="B7" s="261"/>
      <c r="C7" s="261"/>
      <c r="D7" s="261"/>
      <c r="E7" s="82" t="s">
        <v>87</v>
      </c>
      <c r="F7" s="54" t="s">
        <v>88</v>
      </c>
      <c r="G7" s="54" t="s">
        <v>89</v>
      </c>
      <c r="H7" s="261"/>
      <c r="I7" s="82" t="s">
        <v>87</v>
      </c>
      <c r="J7" s="54" t="s">
        <v>88</v>
      </c>
      <c r="K7" s="54" t="s">
        <v>120</v>
      </c>
      <c r="L7" s="261"/>
      <c r="M7" s="82" t="s">
        <v>87</v>
      </c>
      <c r="N7" s="54" t="s">
        <v>88</v>
      </c>
      <c r="O7" s="54" t="s">
        <v>89</v>
      </c>
      <c r="P7" s="261"/>
      <c r="Q7" s="82" t="s">
        <v>87</v>
      </c>
      <c r="R7" s="54" t="s">
        <v>88</v>
      </c>
      <c r="S7" s="54" t="s">
        <v>120</v>
      </c>
      <c r="T7" s="261"/>
      <c r="U7" s="82" t="s">
        <v>87</v>
      </c>
      <c r="V7" s="54" t="s">
        <v>88</v>
      </c>
      <c r="W7" s="54" t="s">
        <v>120</v>
      </c>
      <c r="X7" s="261"/>
      <c r="Y7" s="54" t="s">
        <v>90</v>
      </c>
      <c r="Z7" s="54" t="s">
        <v>88</v>
      </c>
      <c r="AA7" s="54" t="s">
        <v>89</v>
      </c>
      <c r="AB7" s="261"/>
      <c r="AC7" s="54" t="s">
        <v>90</v>
      </c>
      <c r="AD7" s="54" t="s">
        <v>88</v>
      </c>
      <c r="AE7" s="54" t="s">
        <v>89</v>
      </c>
      <c r="AF7" s="261"/>
      <c r="AG7" s="54" t="s">
        <v>90</v>
      </c>
      <c r="AH7" s="54" t="s">
        <v>88</v>
      </c>
      <c r="AI7" s="54" t="s">
        <v>89</v>
      </c>
      <c r="AJ7" s="261"/>
      <c r="AK7" s="54" t="s">
        <v>90</v>
      </c>
      <c r="AL7" s="54" t="s">
        <v>88</v>
      </c>
      <c r="AM7" s="81" t="s">
        <v>120</v>
      </c>
    </row>
    <row r="8" spans="1:57" s="95" customFormat="1" x14ac:dyDescent="0.3">
      <c r="A8" s="97"/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D8" s="98"/>
      <c r="AE8" s="98"/>
      <c r="AF8" s="98"/>
      <c r="AG8" s="98"/>
      <c r="AH8" s="98"/>
      <c r="AI8" s="98"/>
      <c r="AJ8" s="98"/>
      <c r="AK8" s="98"/>
      <c r="AL8" s="98"/>
      <c r="AM8" s="99"/>
    </row>
    <row r="9" spans="1:57" s="86" customFormat="1" ht="13.2" x14ac:dyDescent="0.3">
      <c r="A9" s="83" t="s">
        <v>91</v>
      </c>
      <c r="B9" s="109">
        <v>1</v>
      </c>
      <c r="C9" s="109"/>
      <c r="D9" s="84">
        <v>943.71748736999996</v>
      </c>
      <c r="E9" s="84">
        <v>787.33089378000011</v>
      </c>
      <c r="F9" s="84">
        <v>154.95358966000001</v>
      </c>
      <c r="G9" s="84">
        <v>1.4330039299999999</v>
      </c>
      <c r="H9" s="84">
        <v>1052.8193592699999</v>
      </c>
      <c r="I9" s="84">
        <v>857.31896404000008</v>
      </c>
      <c r="J9" s="84">
        <v>192.86721282000002</v>
      </c>
      <c r="K9" s="84">
        <v>2.6331824100000003</v>
      </c>
      <c r="L9" s="84">
        <v>1030.0456999999999</v>
      </c>
      <c r="M9" s="84">
        <v>890.85589999999979</v>
      </c>
      <c r="N9" s="84">
        <v>136.82439999999997</v>
      </c>
      <c r="O9" s="84">
        <v>2.3653999999999997</v>
      </c>
      <c r="P9" s="84">
        <v>1024.2112</v>
      </c>
      <c r="Q9" s="84">
        <v>885.27030000000002</v>
      </c>
      <c r="R9" s="84">
        <v>136.57999999999998</v>
      </c>
      <c r="S9" s="84">
        <v>2.3608999999999996</v>
      </c>
      <c r="T9" s="84">
        <v>945.35220000000004</v>
      </c>
      <c r="U9" s="84">
        <v>837.78740000000005</v>
      </c>
      <c r="V9" s="84">
        <v>105.39139999999999</v>
      </c>
      <c r="W9" s="84">
        <v>2.1734</v>
      </c>
      <c r="X9" s="103">
        <v>1.7322055084045829E-3</v>
      </c>
      <c r="Y9" s="103">
        <v>6.4085515529254344E-2</v>
      </c>
      <c r="Z9" s="103">
        <v>-0.31985183285362817</v>
      </c>
      <c r="AA9" s="103">
        <v>0.5166741378022599</v>
      </c>
      <c r="AB9" s="103">
        <v>-0.10207559190829762</v>
      </c>
      <c r="AC9" s="103">
        <v>-2.2782143938540833E-2</v>
      </c>
      <c r="AD9" s="103">
        <v>-0.45355460651386015</v>
      </c>
      <c r="AE9" s="103">
        <v>-0.17461092260600364</v>
      </c>
      <c r="AF9" s="103">
        <v>-8.2223050880169568E-2</v>
      </c>
      <c r="AG9" s="103">
        <v>-5.9570240259956497E-2</v>
      </c>
      <c r="AH9" s="103">
        <v>-0.22973241614799689</v>
      </c>
      <c r="AI9" s="103">
        <v>-8.1170203771032234E-2</v>
      </c>
      <c r="AJ9" s="103">
        <v>-7.6994861997212949E-2</v>
      </c>
      <c r="AK9" s="103">
        <v>-5.3636612456105182E-2</v>
      </c>
      <c r="AL9" s="103">
        <v>-0.22835407819592912</v>
      </c>
      <c r="AM9" s="105">
        <v>-7.9418865686814222E-2</v>
      </c>
      <c r="AN9" s="85"/>
      <c r="AO9" s="85"/>
      <c r="AP9" s="85"/>
      <c r="AQ9" s="85"/>
      <c r="AR9" s="85"/>
      <c r="AS9" s="85"/>
      <c r="AT9" s="85"/>
      <c r="AU9" s="85"/>
      <c r="AV9" s="85"/>
      <c r="AW9" s="85"/>
      <c r="AX9" s="85"/>
      <c r="AY9" s="85"/>
      <c r="AZ9" s="85"/>
      <c r="BA9" s="85"/>
      <c r="BB9" s="85"/>
      <c r="BC9" s="85"/>
      <c r="BD9" s="85"/>
      <c r="BE9" s="85"/>
    </row>
    <row r="10" spans="1:57" ht="41.4" x14ac:dyDescent="0.3">
      <c r="A10" s="100" t="s">
        <v>92</v>
      </c>
      <c r="B10" s="110">
        <v>1</v>
      </c>
      <c r="C10" s="110">
        <v>2</v>
      </c>
      <c r="D10" s="101">
        <v>2.97632064</v>
      </c>
      <c r="E10" s="101">
        <v>2.97632064</v>
      </c>
      <c r="F10" s="101">
        <v>0</v>
      </c>
      <c r="G10" s="101">
        <v>0</v>
      </c>
      <c r="H10" s="101">
        <v>6.0876290300000004</v>
      </c>
      <c r="I10" s="101">
        <v>6.0876290300000004</v>
      </c>
      <c r="J10" s="101">
        <v>0</v>
      </c>
      <c r="K10" s="101">
        <v>0</v>
      </c>
      <c r="L10" s="101">
        <v>4.3105000000000002</v>
      </c>
      <c r="M10" s="101">
        <v>4.3105000000000002</v>
      </c>
      <c r="N10" s="101">
        <v>0</v>
      </c>
      <c r="O10" s="101">
        <v>0</v>
      </c>
      <c r="P10" s="101">
        <v>4.3105000000000002</v>
      </c>
      <c r="Q10" s="101">
        <v>4.3105000000000002</v>
      </c>
      <c r="R10" s="101">
        <v>0</v>
      </c>
      <c r="S10" s="101">
        <v>0</v>
      </c>
      <c r="T10" s="101">
        <v>5.4971000000000005</v>
      </c>
      <c r="U10" s="101">
        <v>5.4971000000000005</v>
      </c>
      <c r="V10" s="101">
        <v>0</v>
      </c>
      <c r="W10" s="101">
        <v>0</v>
      </c>
      <c r="X10" s="104">
        <v>0.84694482379425384</v>
      </c>
      <c r="Y10" s="104">
        <v>0.84694482379425384</v>
      </c>
      <c r="Z10" s="104"/>
      <c r="AA10" s="104"/>
      <c r="AB10" s="104">
        <v>-9.7004766073927495E-2</v>
      </c>
      <c r="AC10" s="104">
        <v>-9.7004766073927495E-2</v>
      </c>
      <c r="AD10" s="104"/>
      <c r="AE10" s="104"/>
      <c r="AF10" s="104">
        <v>0.27528128987356459</v>
      </c>
      <c r="AG10" s="104">
        <v>0.27528128987356459</v>
      </c>
      <c r="AH10" s="104"/>
      <c r="AI10" s="104"/>
      <c r="AJ10" s="104">
        <v>0.27528128987356459</v>
      </c>
      <c r="AK10" s="104">
        <v>0.27528128987356459</v>
      </c>
      <c r="AL10" s="104"/>
      <c r="AM10" s="106"/>
      <c r="AN10" s="102"/>
      <c r="AO10" s="102"/>
      <c r="AP10" s="102"/>
      <c r="AQ10" s="102"/>
      <c r="AR10" s="102"/>
      <c r="AS10" s="102"/>
      <c r="AT10" s="102"/>
      <c r="AU10" s="102"/>
      <c r="AV10" s="102"/>
      <c r="AW10" s="102"/>
      <c r="AX10" s="102"/>
      <c r="AY10" s="102"/>
      <c r="AZ10" s="102"/>
      <c r="BA10" s="102"/>
      <c r="BB10" s="102"/>
      <c r="BC10" s="102"/>
      <c r="BD10" s="102"/>
      <c r="BE10" s="102"/>
    </row>
    <row r="11" spans="1:57" ht="55.2" x14ac:dyDescent="0.3">
      <c r="A11" s="100" t="s">
        <v>93</v>
      </c>
      <c r="B11" s="110">
        <v>1</v>
      </c>
      <c r="C11" s="110">
        <v>3</v>
      </c>
      <c r="D11" s="101">
        <v>153.47732695999997</v>
      </c>
      <c r="E11" s="101">
        <v>114.89761713999999</v>
      </c>
      <c r="F11" s="101">
        <v>38.483301820000001</v>
      </c>
      <c r="G11" s="101">
        <v>9.6408000000000008E-2</v>
      </c>
      <c r="H11" s="101">
        <v>201.33561166000001</v>
      </c>
      <c r="I11" s="101">
        <v>141.07189636000001</v>
      </c>
      <c r="J11" s="101">
        <v>60.212387300000003</v>
      </c>
      <c r="K11" s="101">
        <v>5.1328000000000006E-2</v>
      </c>
      <c r="L11" s="101">
        <v>183.74329999999998</v>
      </c>
      <c r="M11" s="101">
        <v>147.8811</v>
      </c>
      <c r="N11" s="101">
        <v>35.816400000000002</v>
      </c>
      <c r="O11" s="101">
        <v>4.58E-2</v>
      </c>
      <c r="P11" s="101">
        <v>183.49959999999999</v>
      </c>
      <c r="Q11" s="101">
        <v>147.8811</v>
      </c>
      <c r="R11" s="101">
        <v>35.572699999999998</v>
      </c>
      <c r="S11" s="101">
        <v>4.58E-2</v>
      </c>
      <c r="T11" s="101">
        <v>167.25290000000001</v>
      </c>
      <c r="U11" s="101">
        <v>143.56220000000002</v>
      </c>
      <c r="V11" s="101">
        <v>23.651</v>
      </c>
      <c r="W11" s="101">
        <v>3.9700000000000006E-2</v>
      </c>
      <c r="X11" s="104">
        <v>8.975640449869382E-2</v>
      </c>
      <c r="Y11" s="104">
        <v>0.2494793501685324</v>
      </c>
      <c r="Z11" s="104">
        <v>-0.38542175745147644</v>
      </c>
      <c r="AA11" s="104">
        <v>-0.58820844743174838</v>
      </c>
      <c r="AB11" s="104">
        <v>-0.16928307604894188</v>
      </c>
      <c r="AC11" s="104">
        <v>1.7652726760296833E-2</v>
      </c>
      <c r="AD11" s="104">
        <v>-0.60720707049594091</v>
      </c>
      <c r="AE11" s="104">
        <v>-0.22654301745635907</v>
      </c>
      <c r="AF11" s="104">
        <v>-8.9746945875033068E-2</v>
      </c>
      <c r="AG11" s="104">
        <v>-2.9205219598718024E-2</v>
      </c>
      <c r="AH11" s="104">
        <v>-0.33966004400218897</v>
      </c>
      <c r="AI11" s="104">
        <v>-0.13318777292576411</v>
      </c>
      <c r="AJ11" s="104">
        <v>-8.8538067657913055E-2</v>
      </c>
      <c r="AK11" s="104">
        <v>-2.9205219598718024E-2</v>
      </c>
      <c r="AL11" s="104">
        <v>-0.3351362140068086</v>
      </c>
      <c r="AM11" s="106">
        <v>-0.13318777292576411</v>
      </c>
      <c r="AN11" s="102"/>
      <c r="AO11" s="102"/>
      <c r="AP11" s="102"/>
      <c r="AQ11" s="102"/>
      <c r="AR11" s="102"/>
      <c r="AS11" s="102"/>
      <c r="AT11" s="102"/>
      <c r="AU11" s="102"/>
      <c r="AV11" s="102"/>
      <c r="AW11" s="102"/>
      <c r="AX11" s="102"/>
      <c r="AY11" s="102"/>
      <c r="AZ11" s="102"/>
      <c r="BA11" s="102"/>
      <c r="BB11" s="102"/>
      <c r="BC11" s="102"/>
      <c r="BD11" s="102"/>
      <c r="BE11" s="102"/>
    </row>
    <row r="12" spans="1:57" ht="55.2" x14ac:dyDescent="0.3">
      <c r="A12" s="100" t="s">
        <v>94</v>
      </c>
      <c r="B12" s="110">
        <v>1</v>
      </c>
      <c r="C12" s="110">
        <v>4</v>
      </c>
      <c r="D12" s="101">
        <v>175.91630389000002</v>
      </c>
      <c r="E12" s="101">
        <v>152.09710902</v>
      </c>
      <c r="F12" s="101">
        <v>23.56919487</v>
      </c>
      <c r="G12" s="101">
        <v>0.25</v>
      </c>
      <c r="H12" s="101">
        <v>198.30705840000002</v>
      </c>
      <c r="I12" s="101">
        <v>160.11720457000001</v>
      </c>
      <c r="J12" s="101">
        <v>37.736384569999998</v>
      </c>
      <c r="K12" s="101">
        <v>0.45346926000000004</v>
      </c>
      <c r="L12" s="101">
        <v>201.68509999999998</v>
      </c>
      <c r="M12" s="101">
        <v>164.7619</v>
      </c>
      <c r="N12" s="101">
        <v>36.725199999999994</v>
      </c>
      <c r="O12" s="101">
        <v>0.19800000000000001</v>
      </c>
      <c r="P12" s="101">
        <v>198.56909999999996</v>
      </c>
      <c r="Q12" s="101">
        <v>161.64589999999998</v>
      </c>
      <c r="R12" s="101">
        <v>36.725199999999994</v>
      </c>
      <c r="S12" s="101">
        <v>0.19800000000000001</v>
      </c>
      <c r="T12" s="101">
        <v>219.50780000000003</v>
      </c>
      <c r="U12" s="101">
        <v>187.31670000000003</v>
      </c>
      <c r="V12" s="101">
        <v>31.993099999999998</v>
      </c>
      <c r="W12" s="101">
        <v>0.19800000000000001</v>
      </c>
      <c r="X12" s="104">
        <v>0.24779679396434817</v>
      </c>
      <c r="Y12" s="104">
        <v>0.23155989753473105</v>
      </c>
      <c r="Z12" s="104">
        <v>0.35741166282783587</v>
      </c>
      <c r="AA12" s="104">
        <v>-0.20799999999999996</v>
      </c>
      <c r="AB12" s="104">
        <v>0.10690865857753051</v>
      </c>
      <c r="AC12" s="104">
        <v>0.16987241004516118</v>
      </c>
      <c r="AD12" s="104">
        <v>-0.15219488129145919</v>
      </c>
      <c r="AE12" s="104">
        <v>-0.56336621362162453</v>
      </c>
      <c r="AF12" s="104">
        <v>8.836894743340018E-2</v>
      </c>
      <c r="AG12" s="104">
        <v>0.1368932987541418</v>
      </c>
      <c r="AH12" s="104">
        <v>-0.12885157875246411</v>
      </c>
      <c r="AI12" s="104">
        <v>0</v>
      </c>
      <c r="AJ12" s="104">
        <v>0.10544792719511786</v>
      </c>
      <c r="AK12" s="104">
        <v>0.15880885317846016</v>
      </c>
      <c r="AL12" s="104">
        <v>-0.12885157875246411</v>
      </c>
      <c r="AM12" s="106">
        <v>0</v>
      </c>
      <c r="AN12" s="102"/>
      <c r="AO12" s="102"/>
      <c r="AP12" s="102"/>
      <c r="AQ12" s="102"/>
      <c r="AR12" s="102"/>
      <c r="AS12" s="102"/>
      <c r="AT12" s="102"/>
      <c r="AU12" s="102"/>
      <c r="AV12" s="102"/>
      <c r="AW12" s="102"/>
      <c r="AX12" s="102"/>
      <c r="AY12" s="102"/>
      <c r="AZ12" s="102"/>
      <c r="BA12" s="102"/>
      <c r="BB12" s="102"/>
      <c r="BC12" s="102"/>
      <c r="BD12" s="102"/>
      <c r="BE12" s="102"/>
    </row>
    <row r="13" spans="1:57" x14ac:dyDescent="0.3">
      <c r="A13" s="100" t="s">
        <v>95</v>
      </c>
      <c r="B13" s="110">
        <v>1</v>
      </c>
      <c r="C13" s="110">
        <v>5</v>
      </c>
      <c r="D13" s="101">
        <v>209.67188435</v>
      </c>
      <c r="E13" s="101">
        <v>158.1669</v>
      </c>
      <c r="F13" s="101">
        <v>51.356984349999998</v>
      </c>
      <c r="G13" s="101">
        <v>0.14799999999999999</v>
      </c>
      <c r="H13" s="101">
        <v>202.24609224</v>
      </c>
      <c r="I13" s="101">
        <v>148.67629402</v>
      </c>
      <c r="J13" s="101">
        <v>52.141798219999998</v>
      </c>
      <c r="K13" s="101">
        <v>1.4279999999999999</v>
      </c>
      <c r="L13" s="101">
        <v>169.05690000000001</v>
      </c>
      <c r="M13" s="101">
        <v>147.63820000000001</v>
      </c>
      <c r="N13" s="101">
        <v>20.0016</v>
      </c>
      <c r="O13" s="101">
        <v>1.4170999999999998</v>
      </c>
      <c r="P13" s="101">
        <v>168.12250000000003</v>
      </c>
      <c r="Q13" s="101">
        <v>146.75070000000002</v>
      </c>
      <c r="R13" s="101">
        <v>19.954699999999999</v>
      </c>
      <c r="S13" s="101">
        <v>1.4170999999999998</v>
      </c>
      <c r="T13" s="101">
        <v>174.1063</v>
      </c>
      <c r="U13" s="101">
        <v>158.57470000000001</v>
      </c>
      <c r="V13" s="101">
        <v>14.1416</v>
      </c>
      <c r="W13" s="101">
        <v>1.39</v>
      </c>
      <c r="X13" s="104">
        <v>-0.16962495691902713</v>
      </c>
      <c r="Y13" s="104">
        <v>2.5782891363490545E-3</v>
      </c>
      <c r="Z13" s="104">
        <v>-0.72464115292236775</v>
      </c>
      <c r="AA13" s="104">
        <v>8.3918918918918912</v>
      </c>
      <c r="AB13" s="104">
        <v>-0.13913639531095245</v>
      </c>
      <c r="AC13" s="104">
        <v>6.6576894758141325E-2</v>
      </c>
      <c r="AD13" s="104">
        <v>-0.72878572502749406</v>
      </c>
      <c r="AE13" s="104">
        <v>-2.6610644257703098E-2</v>
      </c>
      <c r="AF13" s="104">
        <v>2.9868050342813479E-2</v>
      </c>
      <c r="AG13" s="104">
        <v>7.4076356932013532E-2</v>
      </c>
      <c r="AH13" s="104">
        <v>-0.29297656187504995</v>
      </c>
      <c r="AI13" s="104">
        <v>-1.9123562204502065E-2</v>
      </c>
      <c r="AJ13" s="104">
        <v>3.5591904712337641E-2</v>
      </c>
      <c r="AK13" s="104">
        <v>8.0572017714395816E-2</v>
      </c>
      <c r="AL13" s="104">
        <v>-0.29131482808561382</v>
      </c>
      <c r="AM13" s="106">
        <v>-1.9123562204502065E-2</v>
      </c>
      <c r="AN13" s="102"/>
      <c r="AO13" s="102"/>
      <c r="AP13" s="102"/>
      <c r="AQ13" s="102"/>
      <c r="AR13" s="102"/>
      <c r="AS13" s="102"/>
      <c r="AT13" s="102"/>
      <c r="AU13" s="102"/>
      <c r="AV13" s="102"/>
      <c r="AW13" s="102"/>
      <c r="AX13" s="102"/>
      <c r="AY13" s="102"/>
      <c r="AZ13" s="102"/>
      <c r="BA13" s="102"/>
      <c r="BB13" s="102"/>
      <c r="BC13" s="102"/>
      <c r="BD13" s="102"/>
      <c r="BE13" s="102"/>
    </row>
    <row r="14" spans="1:57" ht="41.4" x14ac:dyDescent="0.3">
      <c r="A14" s="100" t="s">
        <v>96</v>
      </c>
      <c r="B14" s="110">
        <v>1</v>
      </c>
      <c r="C14" s="110">
        <v>6</v>
      </c>
      <c r="D14" s="101">
        <v>114.37120974</v>
      </c>
      <c r="E14" s="101">
        <v>106.08616997</v>
      </c>
      <c r="F14" s="101">
        <v>8.1506922999999993</v>
      </c>
      <c r="G14" s="101">
        <v>0.13434747</v>
      </c>
      <c r="H14" s="101">
        <v>132.65603461000001</v>
      </c>
      <c r="I14" s="101">
        <v>124.70618408</v>
      </c>
      <c r="J14" s="101">
        <v>7.814565309999999</v>
      </c>
      <c r="K14" s="101">
        <v>0.13528521999999998</v>
      </c>
      <c r="L14" s="101">
        <v>139.28409999999997</v>
      </c>
      <c r="M14" s="101">
        <v>131.55279999999999</v>
      </c>
      <c r="N14" s="101">
        <v>7.3693</v>
      </c>
      <c r="O14" s="101">
        <v>0.36199999999999999</v>
      </c>
      <c r="P14" s="101">
        <v>138.69499999999999</v>
      </c>
      <c r="Q14" s="101">
        <v>130.97040000000001</v>
      </c>
      <c r="R14" s="101">
        <v>7.3625999999999996</v>
      </c>
      <c r="S14" s="101">
        <v>0.36199999999999999</v>
      </c>
      <c r="T14" s="101">
        <v>124.13249999999999</v>
      </c>
      <c r="U14" s="101">
        <v>117.806</v>
      </c>
      <c r="V14" s="101">
        <v>6.1108000000000002</v>
      </c>
      <c r="W14" s="101">
        <v>0.21569999999999998</v>
      </c>
      <c r="X14" s="104">
        <v>8.5347442614188695E-2</v>
      </c>
      <c r="Y14" s="104">
        <v>0.11047462674271524</v>
      </c>
      <c r="Z14" s="104">
        <v>-0.25027227441772026</v>
      </c>
      <c r="AA14" s="104">
        <v>0.60553823603823709</v>
      </c>
      <c r="AB14" s="104">
        <v>-6.4252897616445703E-2</v>
      </c>
      <c r="AC14" s="104">
        <v>-5.5331530917291816E-2</v>
      </c>
      <c r="AD14" s="104">
        <v>-0.21802432283978168</v>
      </c>
      <c r="AE14" s="104">
        <v>0.59440920449403123</v>
      </c>
      <c r="AF14" s="104">
        <v>-0.10878197870395812</v>
      </c>
      <c r="AG14" s="104">
        <v>-0.10449644553365645</v>
      </c>
      <c r="AH14" s="104">
        <v>-0.1707760574274354</v>
      </c>
      <c r="AI14" s="104">
        <v>-0.40414364640883982</v>
      </c>
      <c r="AJ14" s="104">
        <v>-0.10499657521900574</v>
      </c>
      <c r="AK14" s="104">
        <v>-0.10051431468484495</v>
      </c>
      <c r="AL14" s="104">
        <v>-0.17002145981039296</v>
      </c>
      <c r="AM14" s="106">
        <v>-0.40414364640883982</v>
      </c>
      <c r="AN14" s="102"/>
      <c r="AO14" s="102"/>
      <c r="AP14" s="102"/>
      <c r="AQ14" s="102"/>
      <c r="AR14" s="102"/>
      <c r="AS14" s="102"/>
      <c r="AT14" s="102"/>
      <c r="AU14" s="102"/>
      <c r="AV14" s="102"/>
      <c r="AW14" s="102"/>
      <c r="AX14" s="102"/>
      <c r="AY14" s="102"/>
      <c r="AZ14" s="102"/>
      <c r="BA14" s="102"/>
      <c r="BB14" s="102"/>
      <c r="BC14" s="102"/>
      <c r="BD14" s="102"/>
      <c r="BE14" s="102"/>
    </row>
    <row r="15" spans="1:57" ht="27.6" x14ac:dyDescent="0.3">
      <c r="A15" s="100" t="s">
        <v>97</v>
      </c>
      <c r="B15" s="110">
        <v>1</v>
      </c>
      <c r="C15" s="110">
        <v>7</v>
      </c>
      <c r="D15" s="101">
        <v>32.694995249999998</v>
      </c>
      <c r="E15" s="101">
        <v>31.913468250000001</v>
      </c>
      <c r="F15" s="101">
        <v>0.76346000000000003</v>
      </c>
      <c r="G15" s="101">
        <v>1.8067E-2</v>
      </c>
      <c r="H15" s="101">
        <v>35.509865259999998</v>
      </c>
      <c r="I15" s="101">
        <v>34.926214260000002</v>
      </c>
      <c r="J15" s="101">
        <v>0.565998</v>
      </c>
      <c r="K15" s="101">
        <v>1.7652999999999999E-2</v>
      </c>
      <c r="L15" s="101">
        <v>39.221599999999995</v>
      </c>
      <c r="M15" s="101">
        <v>38.574400000000004</v>
      </c>
      <c r="N15" s="101">
        <v>0.62920000000000009</v>
      </c>
      <c r="O15" s="101">
        <v>1.7999999999999999E-2</v>
      </c>
      <c r="P15" s="101">
        <v>39.221599999999995</v>
      </c>
      <c r="Q15" s="101">
        <v>38.574400000000004</v>
      </c>
      <c r="R15" s="101">
        <v>0.62920000000000009</v>
      </c>
      <c r="S15" s="101">
        <v>1.7999999999999999E-2</v>
      </c>
      <c r="T15" s="101">
        <v>38.611199999999997</v>
      </c>
      <c r="U15" s="101">
        <v>38.287500000000001</v>
      </c>
      <c r="V15" s="101">
        <v>0.30610000000000004</v>
      </c>
      <c r="W15" s="101">
        <v>1.7600000000000001E-2</v>
      </c>
      <c r="X15" s="104">
        <v>0.18095138735339011</v>
      </c>
      <c r="Y15" s="104">
        <v>0.19972858167805052</v>
      </c>
      <c r="Z15" s="104">
        <v>-0.59906216435700621</v>
      </c>
      <c r="AA15" s="104">
        <v>-2.5848231582443093E-2</v>
      </c>
      <c r="AB15" s="104">
        <v>8.733727141154457E-2</v>
      </c>
      <c r="AC15" s="104">
        <v>9.6239624339978569E-2</v>
      </c>
      <c r="AD15" s="104">
        <v>-0.45918536814617716</v>
      </c>
      <c r="AE15" s="104">
        <v>-3.0023225514075325E-3</v>
      </c>
      <c r="AF15" s="104">
        <v>-1.5562853121749209E-2</v>
      </c>
      <c r="AG15" s="104">
        <v>-7.4375751793936962E-3</v>
      </c>
      <c r="AH15" s="104">
        <v>-0.51350921805467253</v>
      </c>
      <c r="AI15" s="104">
        <v>-2.2222222222222143E-2</v>
      </c>
      <c r="AJ15" s="104">
        <v>-1.5562853121749209E-2</v>
      </c>
      <c r="AK15" s="104">
        <v>-7.4375751793936962E-3</v>
      </c>
      <c r="AL15" s="104">
        <v>-0.51350921805467253</v>
      </c>
      <c r="AM15" s="106">
        <v>-2.2222222222222143E-2</v>
      </c>
      <c r="AN15" s="102"/>
      <c r="AO15" s="102"/>
      <c r="AP15" s="102"/>
      <c r="AQ15" s="102"/>
      <c r="AR15" s="102"/>
      <c r="AS15" s="102"/>
      <c r="AT15" s="102"/>
      <c r="AU15" s="102"/>
      <c r="AV15" s="102"/>
      <c r="AW15" s="102"/>
      <c r="AX15" s="102"/>
      <c r="AY15" s="102"/>
      <c r="AZ15" s="102"/>
      <c r="BA15" s="102"/>
      <c r="BB15" s="102"/>
      <c r="BC15" s="102"/>
      <c r="BD15" s="102"/>
      <c r="BE15" s="102"/>
    </row>
    <row r="16" spans="1:57" x14ac:dyDescent="0.3">
      <c r="A16" s="100" t="s">
        <v>98</v>
      </c>
      <c r="B16" s="110">
        <v>1</v>
      </c>
      <c r="C16" s="110">
        <v>13</v>
      </c>
      <c r="D16" s="101">
        <v>254.60944653999994</v>
      </c>
      <c r="E16" s="101">
        <v>221.19330876000001</v>
      </c>
      <c r="F16" s="101">
        <v>32.629956319999998</v>
      </c>
      <c r="G16" s="101">
        <v>0.78618146</v>
      </c>
      <c r="H16" s="101">
        <v>276.67706806999996</v>
      </c>
      <c r="I16" s="101">
        <v>241.73354172000001</v>
      </c>
      <c r="J16" s="101">
        <v>34.39607942</v>
      </c>
      <c r="K16" s="101">
        <v>0.54744693</v>
      </c>
      <c r="L16" s="101">
        <v>292.74420000000003</v>
      </c>
      <c r="M16" s="101">
        <v>256.137</v>
      </c>
      <c r="N16" s="101">
        <v>36.282699999999998</v>
      </c>
      <c r="O16" s="101">
        <v>0.32449999999999996</v>
      </c>
      <c r="P16" s="101">
        <v>291.79289999999997</v>
      </c>
      <c r="Q16" s="101">
        <v>255.13730000000001</v>
      </c>
      <c r="R16" s="101">
        <v>36.335599999999999</v>
      </c>
      <c r="S16" s="101">
        <v>0.31999999999999995</v>
      </c>
      <c r="T16" s="101">
        <v>216.24440000000001</v>
      </c>
      <c r="U16" s="101">
        <v>186.7432</v>
      </c>
      <c r="V16" s="101">
        <v>29.188800000000004</v>
      </c>
      <c r="W16" s="101">
        <v>0.31239999999999996</v>
      </c>
      <c r="X16" s="104">
        <v>-0.15068194468571161</v>
      </c>
      <c r="Y16" s="104">
        <v>-0.15574661346279328</v>
      </c>
      <c r="Z16" s="104">
        <v>-0.10546003452327002</v>
      </c>
      <c r="AA16" s="104">
        <v>-0.60263626669598658</v>
      </c>
      <c r="AB16" s="104">
        <v>-0.21842311866161002</v>
      </c>
      <c r="AC16" s="104">
        <v>-0.22748329143208157</v>
      </c>
      <c r="AD16" s="104">
        <v>-0.15139165590402037</v>
      </c>
      <c r="AE16" s="104">
        <v>-0.4293510788342535</v>
      </c>
      <c r="AF16" s="104">
        <v>-0.2613196094064375</v>
      </c>
      <c r="AG16" s="104">
        <v>-0.27092454428684654</v>
      </c>
      <c r="AH16" s="104">
        <v>-0.19551742290402851</v>
      </c>
      <c r="AI16" s="104">
        <v>-3.7288135593220306E-2</v>
      </c>
      <c r="AJ16" s="104">
        <v>-0.25891137172974388</v>
      </c>
      <c r="AK16" s="104">
        <v>-0.26806782073808888</v>
      </c>
      <c r="AL16" s="104">
        <v>-0.19668864694679589</v>
      </c>
      <c r="AM16" s="106">
        <v>-2.3749999999999938E-2</v>
      </c>
      <c r="AN16" s="102"/>
      <c r="AO16" s="102"/>
      <c r="AP16" s="102"/>
      <c r="AQ16" s="102"/>
      <c r="AR16" s="102"/>
      <c r="AS16" s="102"/>
      <c r="AT16" s="102"/>
      <c r="AU16" s="102"/>
      <c r="AV16" s="102"/>
      <c r="AW16" s="102"/>
      <c r="AX16" s="102"/>
      <c r="AY16" s="102"/>
      <c r="AZ16" s="102"/>
      <c r="BA16" s="102"/>
      <c r="BB16" s="102"/>
      <c r="BC16" s="102"/>
      <c r="BD16" s="102"/>
      <c r="BE16" s="102"/>
    </row>
    <row r="17" spans="1:57" s="86" customFormat="1" ht="26.4" x14ac:dyDescent="0.3">
      <c r="A17" s="83" t="s">
        <v>99</v>
      </c>
      <c r="B17" s="109">
        <v>3</v>
      </c>
      <c r="C17" s="109"/>
      <c r="D17" s="84">
        <v>10.159800000000001</v>
      </c>
      <c r="E17" s="84">
        <v>9.3898357900000011</v>
      </c>
      <c r="F17" s="84">
        <v>0.41499999999999998</v>
      </c>
      <c r="G17" s="84">
        <v>0.35496421</v>
      </c>
      <c r="H17" s="84">
        <v>9.9999000000000002</v>
      </c>
      <c r="I17" s="84">
        <v>9.2197999999999993</v>
      </c>
      <c r="J17" s="84">
        <v>0.65460000000000007</v>
      </c>
      <c r="K17" s="84">
        <v>0.1255</v>
      </c>
      <c r="L17" s="84">
        <v>15.3889</v>
      </c>
      <c r="M17" s="84">
        <v>13.319900000000001</v>
      </c>
      <c r="N17" s="84">
        <v>2.0335000000000001</v>
      </c>
      <c r="O17" s="84">
        <v>3.5499999999999997E-2</v>
      </c>
      <c r="P17" s="84">
        <v>15.1136</v>
      </c>
      <c r="Q17" s="84">
        <v>13.044600000000001</v>
      </c>
      <c r="R17" s="84">
        <v>2.0335000000000001</v>
      </c>
      <c r="S17" s="84">
        <v>3.5499999999999997E-2</v>
      </c>
      <c r="T17" s="84">
        <v>15.985300000000001</v>
      </c>
      <c r="U17" s="84">
        <v>14.7156</v>
      </c>
      <c r="V17" s="84">
        <v>1.2361</v>
      </c>
      <c r="W17" s="84">
        <v>3.3600000000000005E-2</v>
      </c>
      <c r="X17" s="103">
        <v>0.5733872714029804</v>
      </c>
      <c r="Y17" s="103">
        <v>0.56718395604658367</v>
      </c>
      <c r="Z17" s="103">
        <v>1.9785542168674701</v>
      </c>
      <c r="AA17" s="103">
        <v>-0.90534256960722881</v>
      </c>
      <c r="AB17" s="103">
        <v>0.59854598545985471</v>
      </c>
      <c r="AC17" s="103">
        <v>0.59608668300830825</v>
      </c>
      <c r="AD17" s="103">
        <v>0.88832875038191239</v>
      </c>
      <c r="AE17" s="103">
        <v>-0.73227091633466124</v>
      </c>
      <c r="AF17" s="103">
        <v>3.8755206674941034E-2</v>
      </c>
      <c r="AG17" s="103">
        <v>0.1047830689419591</v>
      </c>
      <c r="AH17" s="103">
        <v>-0.39213179247602659</v>
      </c>
      <c r="AI17" s="103">
        <v>-5.3521126760563198E-2</v>
      </c>
      <c r="AJ17" s="103">
        <v>5.7676529748041494E-2</v>
      </c>
      <c r="AK17" s="103">
        <v>0.12809898348741999</v>
      </c>
      <c r="AL17" s="103">
        <v>-0.39213179247602659</v>
      </c>
      <c r="AM17" s="105">
        <v>-5.3521126760563198E-2</v>
      </c>
      <c r="AN17" s="85"/>
      <c r="AO17" s="85"/>
      <c r="AP17" s="85"/>
      <c r="AQ17" s="85"/>
      <c r="AR17" s="85"/>
      <c r="AS17" s="85"/>
      <c r="AT17" s="85"/>
      <c r="AU17" s="85"/>
      <c r="AV17" s="85"/>
      <c r="AW17" s="85"/>
      <c r="AX17" s="85"/>
      <c r="AY17" s="85"/>
      <c r="AZ17" s="85"/>
      <c r="BA17" s="85"/>
      <c r="BB17" s="85"/>
      <c r="BC17" s="85"/>
      <c r="BD17" s="85"/>
      <c r="BE17" s="85"/>
    </row>
    <row r="18" spans="1:57" ht="41.4" x14ac:dyDescent="0.3">
      <c r="A18" s="100" t="s">
        <v>100</v>
      </c>
      <c r="B18" s="110">
        <v>3</v>
      </c>
      <c r="C18" s="110">
        <v>9</v>
      </c>
      <c r="D18" s="101">
        <v>10.159800000000001</v>
      </c>
      <c r="E18" s="101">
        <v>9.3898357900000011</v>
      </c>
      <c r="F18" s="101">
        <v>0.41499999999999998</v>
      </c>
      <c r="G18" s="101">
        <v>0.35496421</v>
      </c>
      <c r="H18" s="101">
        <v>9.9999000000000002</v>
      </c>
      <c r="I18" s="101">
        <v>9.2197999999999993</v>
      </c>
      <c r="J18" s="101">
        <v>0.65460000000000007</v>
      </c>
      <c r="K18" s="101">
        <v>0.1255</v>
      </c>
      <c r="L18" s="101">
        <v>15.3889</v>
      </c>
      <c r="M18" s="101">
        <v>13.319900000000001</v>
      </c>
      <c r="N18" s="101">
        <v>2.0335000000000001</v>
      </c>
      <c r="O18" s="101">
        <v>3.5499999999999997E-2</v>
      </c>
      <c r="P18" s="101">
        <v>15.1136</v>
      </c>
      <c r="Q18" s="101">
        <v>13.044600000000001</v>
      </c>
      <c r="R18" s="101">
        <v>2.0335000000000001</v>
      </c>
      <c r="S18" s="101">
        <v>3.5499999999999997E-2</v>
      </c>
      <c r="T18" s="101">
        <v>15.985300000000001</v>
      </c>
      <c r="U18" s="101">
        <v>14.7156</v>
      </c>
      <c r="V18" s="101">
        <v>1.2361</v>
      </c>
      <c r="W18" s="101">
        <v>3.3600000000000005E-2</v>
      </c>
      <c r="X18" s="104">
        <v>0.5733872714029804</v>
      </c>
      <c r="Y18" s="104">
        <v>0.56718395604658367</v>
      </c>
      <c r="Z18" s="104">
        <v>1.9785542168674701</v>
      </c>
      <c r="AA18" s="104">
        <v>-0.90534256960722881</v>
      </c>
      <c r="AB18" s="104">
        <v>0.59854598545985471</v>
      </c>
      <c r="AC18" s="104">
        <v>0.59608668300830825</v>
      </c>
      <c r="AD18" s="104">
        <v>0.88832875038191239</v>
      </c>
      <c r="AE18" s="104">
        <v>-0.73227091633466124</v>
      </c>
      <c r="AF18" s="104">
        <v>3.8755206674941034E-2</v>
      </c>
      <c r="AG18" s="104">
        <v>0.1047830689419591</v>
      </c>
      <c r="AH18" s="104">
        <v>-0.39213179247602659</v>
      </c>
      <c r="AI18" s="104">
        <v>-5.3521126760563198E-2</v>
      </c>
      <c r="AJ18" s="104">
        <v>5.7676529748041494E-2</v>
      </c>
      <c r="AK18" s="104">
        <v>0.12809898348741999</v>
      </c>
      <c r="AL18" s="104">
        <v>-0.39213179247602659</v>
      </c>
      <c r="AM18" s="106">
        <v>-5.3521126760563198E-2</v>
      </c>
      <c r="AN18" s="102"/>
      <c r="AO18" s="102"/>
      <c r="AP18" s="102"/>
      <c r="AQ18" s="102"/>
      <c r="AR18" s="102"/>
      <c r="AS18" s="102"/>
      <c r="AT18" s="102"/>
      <c r="AU18" s="102"/>
      <c r="AV18" s="102"/>
      <c r="AW18" s="102"/>
      <c r="AX18" s="102"/>
      <c r="AY18" s="102"/>
      <c r="AZ18" s="102"/>
      <c r="BA18" s="102"/>
      <c r="BB18" s="102"/>
      <c r="BC18" s="102"/>
      <c r="BD18" s="102"/>
      <c r="BE18" s="102"/>
    </row>
    <row r="19" spans="1:57" s="86" customFormat="1" ht="13.2" x14ac:dyDescent="0.3">
      <c r="A19" s="87" t="s">
        <v>101</v>
      </c>
      <c r="B19" s="109">
        <v>4</v>
      </c>
      <c r="C19" s="109"/>
      <c r="D19" s="84">
        <v>433.62325071999999</v>
      </c>
      <c r="E19" s="84">
        <v>394.05291651000005</v>
      </c>
      <c r="F19" s="84">
        <v>35.869079759999998</v>
      </c>
      <c r="G19" s="84">
        <v>3.70125445</v>
      </c>
      <c r="H19" s="84">
        <v>453.34293661000004</v>
      </c>
      <c r="I19" s="84">
        <v>413.57736842000003</v>
      </c>
      <c r="J19" s="84">
        <v>36.156902179999996</v>
      </c>
      <c r="K19" s="84">
        <v>3.6086660099999999</v>
      </c>
      <c r="L19" s="84">
        <v>457.59410000000003</v>
      </c>
      <c r="M19" s="84">
        <v>423.14670000000001</v>
      </c>
      <c r="N19" s="84">
        <v>32.0197</v>
      </c>
      <c r="O19" s="84">
        <v>2.4277000000000002</v>
      </c>
      <c r="P19" s="84">
        <v>452.20090000000005</v>
      </c>
      <c r="Q19" s="84">
        <v>418.40799999999996</v>
      </c>
      <c r="R19" s="84">
        <v>31.365199999999998</v>
      </c>
      <c r="S19" s="84">
        <v>2.4277000000000002</v>
      </c>
      <c r="T19" s="84">
        <v>430.29399999999998</v>
      </c>
      <c r="U19" s="84">
        <v>404.89740000000006</v>
      </c>
      <c r="V19" s="84">
        <v>24.273299999999999</v>
      </c>
      <c r="W19" s="84">
        <v>1.1233</v>
      </c>
      <c r="X19" s="103">
        <v>-7.6777495544162466E-3</v>
      </c>
      <c r="Y19" s="103">
        <v>2.7520373624045469E-2</v>
      </c>
      <c r="Z19" s="103">
        <v>-0.32328065948687168</v>
      </c>
      <c r="AA19" s="103">
        <v>-0.69650830139495001</v>
      </c>
      <c r="AB19" s="103">
        <v>-5.0842165496952418E-2</v>
      </c>
      <c r="AC19" s="103">
        <v>-2.098753240091511E-2</v>
      </c>
      <c r="AD19" s="103">
        <v>-0.32866759770623688</v>
      </c>
      <c r="AE19" s="103">
        <v>-0.68872153951426496</v>
      </c>
      <c r="AF19" s="103">
        <v>-5.9660078659231064E-2</v>
      </c>
      <c r="AG19" s="103">
        <v>-4.3127596174092675E-2</v>
      </c>
      <c r="AH19" s="103">
        <v>-0.24192606426668584</v>
      </c>
      <c r="AI19" s="103">
        <v>-0.53729867776084372</v>
      </c>
      <c r="AJ19" s="103">
        <v>-4.8445060591431943E-2</v>
      </c>
      <c r="AK19" s="103">
        <v>-3.2290491577598668E-2</v>
      </c>
      <c r="AL19" s="103">
        <v>-0.22610727812990195</v>
      </c>
      <c r="AM19" s="105">
        <v>-0.53729867776084372</v>
      </c>
      <c r="AN19" s="85"/>
      <c r="AO19" s="85"/>
      <c r="AP19" s="85"/>
      <c r="AQ19" s="85"/>
      <c r="AR19" s="85"/>
      <c r="AS19" s="85"/>
      <c r="AT19" s="85"/>
      <c r="AU19" s="85"/>
      <c r="AV19" s="85"/>
      <c r="AW19" s="85"/>
      <c r="AX19" s="85"/>
      <c r="AY19" s="85"/>
      <c r="AZ19" s="85"/>
      <c r="BA19" s="85"/>
      <c r="BB19" s="85"/>
      <c r="BC19" s="85"/>
      <c r="BD19" s="85"/>
      <c r="BE19" s="85"/>
    </row>
    <row r="20" spans="1:57" x14ac:dyDescent="0.3">
      <c r="A20" s="100" t="s">
        <v>102</v>
      </c>
      <c r="B20" s="110">
        <v>4</v>
      </c>
      <c r="C20" s="110">
        <v>1</v>
      </c>
      <c r="D20" s="101">
        <v>236.7340864</v>
      </c>
      <c r="E20" s="101">
        <v>208.06452525</v>
      </c>
      <c r="F20" s="101">
        <v>25.229094310000001</v>
      </c>
      <c r="G20" s="101">
        <v>3.44046684</v>
      </c>
      <c r="H20" s="101">
        <v>246.78413999000006</v>
      </c>
      <c r="I20" s="101">
        <v>217.05521885000002</v>
      </c>
      <c r="J20" s="101">
        <v>26.496131309999999</v>
      </c>
      <c r="K20" s="101">
        <v>3.2327898299999998</v>
      </c>
      <c r="L20" s="101">
        <v>234.13069999999999</v>
      </c>
      <c r="M20" s="101">
        <v>215.78629999999998</v>
      </c>
      <c r="N20" s="101">
        <v>16.404299999999999</v>
      </c>
      <c r="O20" s="101">
        <v>1.9400999999999999</v>
      </c>
      <c r="P20" s="101">
        <v>230.9615</v>
      </c>
      <c r="Q20" s="101">
        <v>213.26070000000001</v>
      </c>
      <c r="R20" s="101">
        <v>15.7607</v>
      </c>
      <c r="S20" s="101">
        <v>1.9400999999999999</v>
      </c>
      <c r="T20" s="101">
        <v>216.80230000000006</v>
      </c>
      <c r="U20" s="101">
        <v>203.27470000000002</v>
      </c>
      <c r="V20" s="101">
        <v>12.963200000000001</v>
      </c>
      <c r="W20" s="101">
        <v>0.56440000000000001</v>
      </c>
      <c r="X20" s="104">
        <v>-8.419483101525993E-2</v>
      </c>
      <c r="Y20" s="104">
        <v>-2.302086453346508E-2</v>
      </c>
      <c r="Z20" s="104">
        <v>-0.48618052472609752</v>
      </c>
      <c r="AA20" s="104">
        <v>-0.8359524953305465</v>
      </c>
      <c r="AB20" s="104">
        <v>-0.12149014110556255</v>
      </c>
      <c r="AC20" s="104">
        <v>-6.3488539566161184E-2</v>
      </c>
      <c r="AD20" s="104">
        <v>-0.51075121691039049</v>
      </c>
      <c r="AE20" s="104">
        <v>-0.82541395213433966</v>
      </c>
      <c r="AF20" s="104">
        <v>-7.4011652465908684E-2</v>
      </c>
      <c r="AG20" s="104">
        <v>-5.7981438117248207E-2</v>
      </c>
      <c r="AH20" s="104">
        <v>-0.20976817054065089</v>
      </c>
      <c r="AI20" s="104">
        <v>-0.70908716045564657</v>
      </c>
      <c r="AJ20" s="104">
        <v>-6.1305455671183062E-2</v>
      </c>
      <c r="AK20" s="104">
        <v>-4.6825317557337098E-2</v>
      </c>
      <c r="AL20" s="104">
        <v>-0.17749846136275671</v>
      </c>
      <c r="AM20" s="106">
        <v>-0.70908716045564657</v>
      </c>
      <c r="AN20" s="102"/>
      <c r="AO20" s="102"/>
      <c r="AP20" s="102"/>
      <c r="AQ20" s="102"/>
      <c r="AR20" s="102"/>
      <c r="AS20" s="102"/>
      <c r="AT20" s="102"/>
      <c r="AU20" s="102"/>
      <c r="AV20" s="102"/>
      <c r="AW20" s="102"/>
      <c r="AX20" s="102"/>
      <c r="AY20" s="102"/>
      <c r="AZ20" s="102"/>
      <c r="BA20" s="102"/>
      <c r="BB20" s="102"/>
      <c r="BC20" s="102"/>
      <c r="BD20" s="102"/>
      <c r="BE20" s="102"/>
    </row>
    <row r="21" spans="1:57" x14ac:dyDescent="0.3">
      <c r="A21" s="100" t="s">
        <v>103</v>
      </c>
      <c r="B21" s="110">
        <v>4</v>
      </c>
      <c r="C21" s="110">
        <v>2</v>
      </c>
      <c r="D21" s="101">
        <v>53.11635132</v>
      </c>
      <c r="E21" s="101">
        <v>50.741207240000001</v>
      </c>
      <c r="F21" s="101">
        <v>2.3751440800000001</v>
      </c>
      <c r="G21" s="101">
        <v>0</v>
      </c>
      <c r="H21" s="101">
        <v>55.759671670000003</v>
      </c>
      <c r="I21" s="101">
        <v>53.751158310000001</v>
      </c>
      <c r="J21" s="101">
        <v>1.97797669</v>
      </c>
      <c r="K21" s="101">
        <v>3.0536670000000002E-2</v>
      </c>
      <c r="L21" s="101">
        <v>57.180500000000009</v>
      </c>
      <c r="M21" s="101">
        <v>54.196899999999999</v>
      </c>
      <c r="N21" s="101">
        <v>2.9318</v>
      </c>
      <c r="O21" s="101">
        <v>5.1799999999999999E-2</v>
      </c>
      <c r="P21" s="101">
        <v>56.058500000000009</v>
      </c>
      <c r="Q21" s="101">
        <v>53.085800000000006</v>
      </c>
      <c r="R21" s="101">
        <v>2.9209000000000001</v>
      </c>
      <c r="S21" s="101">
        <v>5.1799999999999999E-2</v>
      </c>
      <c r="T21" s="101">
        <v>51.066199999999995</v>
      </c>
      <c r="U21" s="101">
        <v>48.578699999999998</v>
      </c>
      <c r="V21" s="101">
        <v>2.2484999999999999</v>
      </c>
      <c r="W21" s="101">
        <v>0.23899999999999999</v>
      </c>
      <c r="X21" s="104">
        <v>-3.8597367271122396E-2</v>
      </c>
      <c r="Y21" s="104">
        <v>-4.2618364000911457E-2</v>
      </c>
      <c r="Z21" s="104">
        <v>-5.3320588450364692E-2</v>
      </c>
      <c r="AA21" s="104"/>
      <c r="AB21" s="104">
        <v>-8.4173230032220658E-2</v>
      </c>
      <c r="AC21" s="104">
        <v>-9.6229708765879884E-2</v>
      </c>
      <c r="AD21" s="104">
        <v>0.13676769365770425</v>
      </c>
      <c r="AE21" s="104">
        <v>6.8266556242052578</v>
      </c>
      <c r="AF21" s="104">
        <v>-0.10692980998767088</v>
      </c>
      <c r="AG21" s="104">
        <v>-0.10366275561886384</v>
      </c>
      <c r="AH21" s="104">
        <v>-0.23306501125588375</v>
      </c>
      <c r="AI21" s="104">
        <v>3.6138996138996138</v>
      </c>
      <c r="AJ21" s="104">
        <v>-8.9055183424458617E-2</v>
      </c>
      <c r="AK21" s="104">
        <v>-8.4902177230069209E-2</v>
      </c>
      <c r="AL21" s="104">
        <v>-0.23020301961724132</v>
      </c>
      <c r="AM21" s="106">
        <v>3.6138996138996138</v>
      </c>
      <c r="AN21" s="102"/>
      <c r="AO21" s="102"/>
      <c r="AP21" s="102"/>
      <c r="AQ21" s="102"/>
      <c r="AR21" s="102"/>
      <c r="AS21" s="102"/>
      <c r="AT21" s="102"/>
      <c r="AU21" s="102"/>
      <c r="AV21" s="102"/>
      <c r="AW21" s="102"/>
      <c r="AX21" s="102"/>
      <c r="AY21" s="102"/>
      <c r="AZ21" s="102"/>
      <c r="BA21" s="102"/>
      <c r="BB21" s="102"/>
      <c r="BC21" s="102"/>
      <c r="BD21" s="102"/>
      <c r="BE21" s="102"/>
    </row>
    <row r="22" spans="1:57" x14ac:dyDescent="0.3">
      <c r="A22" s="100" t="s">
        <v>104</v>
      </c>
      <c r="B22" s="110">
        <v>4</v>
      </c>
      <c r="C22" s="110">
        <v>5</v>
      </c>
      <c r="D22" s="101">
        <v>50.865960090000002</v>
      </c>
      <c r="E22" s="101">
        <v>48.639939640000001</v>
      </c>
      <c r="F22" s="101">
        <v>2.1153844100000003</v>
      </c>
      <c r="G22" s="101">
        <v>0.11063604</v>
      </c>
      <c r="H22" s="101">
        <v>53.295371639999992</v>
      </c>
      <c r="I22" s="101">
        <v>51.031558419999996</v>
      </c>
      <c r="J22" s="101">
        <v>2.1103408699999999</v>
      </c>
      <c r="K22" s="101">
        <v>0.15347235000000001</v>
      </c>
      <c r="L22" s="101">
        <v>55.571999999999996</v>
      </c>
      <c r="M22" s="101">
        <v>53.467299999999994</v>
      </c>
      <c r="N22" s="101">
        <v>2.0125999999999999</v>
      </c>
      <c r="O22" s="101">
        <v>9.2099999999999987E-2</v>
      </c>
      <c r="P22" s="101">
        <v>54.888499999999993</v>
      </c>
      <c r="Q22" s="101">
        <v>52.783799999999992</v>
      </c>
      <c r="R22" s="101">
        <v>2.0125999999999999</v>
      </c>
      <c r="S22" s="101">
        <v>9.2099999999999987E-2</v>
      </c>
      <c r="T22" s="101">
        <v>56.618299999999998</v>
      </c>
      <c r="U22" s="101">
        <v>55.112000000000002</v>
      </c>
      <c r="V22" s="101">
        <v>1.4093</v>
      </c>
      <c r="W22" s="101">
        <v>9.7000000000000003E-2</v>
      </c>
      <c r="X22" s="104">
        <v>0.11308820082864957</v>
      </c>
      <c r="Y22" s="104">
        <v>0.13306061660236068</v>
      </c>
      <c r="Z22" s="104">
        <v>-0.33378538986207251</v>
      </c>
      <c r="AA22" s="104">
        <v>-0.12325133835231272</v>
      </c>
      <c r="AB22" s="104">
        <v>6.2349285833782186E-2</v>
      </c>
      <c r="AC22" s="104">
        <v>7.9959180286385712E-2</v>
      </c>
      <c r="AD22" s="104">
        <v>-0.33219319208844211</v>
      </c>
      <c r="AE22" s="104">
        <v>-0.36796432712472316</v>
      </c>
      <c r="AF22" s="104">
        <v>1.8827826963218941E-2</v>
      </c>
      <c r="AG22" s="104">
        <v>3.0760857570889311E-2</v>
      </c>
      <c r="AH22" s="104">
        <v>-0.29976150253403555</v>
      </c>
      <c r="AI22" s="104">
        <v>5.3203040173724458E-2</v>
      </c>
      <c r="AJ22" s="104">
        <v>3.15147981817685E-2</v>
      </c>
      <c r="AK22" s="104">
        <v>4.4108230176683083E-2</v>
      </c>
      <c r="AL22" s="104">
        <v>-0.29976150253403555</v>
      </c>
      <c r="AM22" s="106">
        <v>5.3203040173724458E-2</v>
      </c>
      <c r="AN22" s="102"/>
      <c r="AO22" s="102"/>
      <c r="AP22" s="102"/>
      <c r="AQ22" s="102"/>
      <c r="AR22" s="102"/>
      <c r="AS22" s="102"/>
      <c r="AT22" s="102"/>
      <c r="AU22" s="102"/>
      <c r="AV22" s="102"/>
      <c r="AW22" s="102"/>
      <c r="AX22" s="102"/>
      <c r="AY22" s="102"/>
      <c r="AZ22" s="102"/>
      <c r="BA22" s="102"/>
      <c r="BB22" s="102"/>
      <c r="BC22" s="102"/>
      <c r="BD22" s="102"/>
      <c r="BE22" s="102"/>
    </row>
    <row r="23" spans="1:57" x14ac:dyDescent="0.3">
      <c r="A23" s="100" t="s">
        <v>105</v>
      </c>
      <c r="B23" s="110">
        <v>4</v>
      </c>
      <c r="C23" s="110">
        <v>8</v>
      </c>
      <c r="D23" s="101">
        <v>14.653299989999999</v>
      </c>
      <c r="E23" s="101">
        <v>14.049876990000001</v>
      </c>
      <c r="F23" s="101">
        <v>0.49052300000000004</v>
      </c>
      <c r="G23" s="101">
        <v>0.1129</v>
      </c>
      <c r="H23" s="101">
        <v>16.589933460000001</v>
      </c>
      <c r="I23" s="101">
        <v>15.94027503</v>
      </c>
      <c r="J23" s="101">
        <v>0.60953126999999996</v>
      </c>
      <c r="K23" s="101">
        <v>4.0127160000000002E-2</v>
      </c>
      <c r="L23" s="101">
        <v>16.021000000000001</v>
      </c>
      <c r="M23" s="101">
        <v>15.437100000000001</v>
      </c>
      <c r="N23" s="101">
        <v>0.40050000000000002</v>
      </c>
      <c r="O23" s="101">
        <v>0.18340000000000001</v>
      </c>
      <c r="P23" s="101">
        <v>16.021000000000001</v>
      </c>
      <c r="Q23" s="101">
        <v>15.437100000000001</v>
      </c>
      <c r="R23" s="101">
        <v>0.40050000000000002</v>
      </c>
      <c r="S23" s="101">
        <v>0.18340000000000001</v>
      </c>
      <c r="T23" s="101">
        <v>41.670300000000005</v>
      </c>
      <c r="U23" s="101">
        <v>38.311300000000003</v>
      </c>
      <c r="V23" s="101">
        <v>3.2305999999999999</v>
      </c>
      <c r="W23" s="101">
        <v>0.12840000000000001</v>
      </c>
      <c r="X23" s="104">
        <v>1.8437485091028978</v>
      </c>
      <c r="Y23" s="104">
        <v>1.7268067917796053</v>
      </c>
      <c r="Z23" s="104">
        <v>5.5860316437761321</v>
      </c>
      <c r="AA23" s="104">
        <v>0.13728963684676709</v>
      </c>
      <c r="AB23" s="104">
        <v>1.5117822262802494</v>
      </c>
      <c r="AC23" s="104">
        <v>1.4034277907938959</v>
      </c>
      <c r="AD23" s="104">
        <v>4.300138252135941</v>
      </c>
      <c r="AE23" s="104">
        <v>2.1998277475904104</v>
      </c>
      <c r="AF23" s="104">
        <v>1.6009799637975157</v>
      </c>
      <c r="AG23" s="104">
        <v>1.4817679486432036</v>
      </c>
      <c r="AH23" s="104">
        <v>7.0664169787765285</v>
      </c>
      <c r="AI23" s="104">
        <v>-0.29989094874591049</v>
      </c>
      <c r="AJ23" s="104">
        <v>1.6009799637975157</v>
      </c>
      <c r="AK23" s="104">
        <v>1.4817679486432036</v>
      </c>
      <c r="AL23" s="104">
        <v>7.0664169787765285</v>
      </c>
      <c r="AM23" s="106">
        <v>-0.29989094874591049</v>
      </c>
      <c r="AN23" s="102"/>
      <c r="AO23" s="102"/>
      <c r="AP23" s="102"/>
      <c r="AQ23" s="102"/>
      <c r="AR23" s="102"/>
      <c r="AS23" s="102"/>
      <c r="AT23" s="102"/>
      <c r="AU23" s="102"/>
      <c r="AV23" s="102"/>
      <c r="AW23" s="102"/>
      <c r="AX23" s="102"/>
      <c r="AY23" s="102"/>
      <c r="AZ23" s="102"/>
      <c r="BA23" s="102"/>
      <c r="BB23" s="102"/>
      <c r="BC23" s="102"/>
      <c r="BD23" s="102"/>
      <c r="BE23" s="102"/>
    </row>
    <row r="24" spans="1:57" x14ac:dyDescent="0.3">
      <c r="A24" s="100" t="s">
        <v>106</v>
      </c>
      <c r="B24" s="110">
        <v>4</v>
      </c>
      <c r="C24" s="110">
        <v>10</v>
      </c>
      <c r="D24" s="101"/>
      <c r="E24" s="101"/>
      <c r="F24" s="101"/>
      <c r="G24" s="101"/>
      <c r="H24" s="101"/>
      <c r="I24" s="101"/>
      <c r="J24" s="101"/>
      <c r="K24" s="101"/>
      <c r="L24" s="101">
        <v>14.6166</v>
      </c>
      <c r="M24" s="101">
        <v>9.5616000000000003</v>
      </c>
      <c r="N24" s="101">
        <v>5.0549999999999997</v>
      </c>
      <c r="O24" s="101">
        <v>0</v>
      </c>
      <c r="P24" s="101">
        <v>14.6166</v>
      </c>
      <c r="Q24" s="101">
        <v>9.5616000000000003</v>
      </c>
      <c r="R24" s="101">
        <v>5.0549999999999997</v>
      </c>
      <c r="S24" s="101">
        <v>0</v>
      </c>
      <c r="T24" s="101">
        <v>21.901599999999998</v>
      </c>
      <c r="U24" s="101">
        <v>19.273099999999999</v>
      </c>
      <c r="V24" s="101">
        <v>2.6284999999999998</v>
      </c>
      <c r="W24" s="101">
        <v>0</v>
      </c>
      <c r="X24" s="104"/>
      <c r="Y24" s="104"/>
      <c r="Z24" s="104"/>
      <c r="AA24" s="104"/>
      <c r="AB24" s="104"/>
      <c r="AC24" s="104"/>
      <c r="AD24" s="104"/>
      <c r="AE24" s="104"/>
      <c r="AF24" s="104">
        <v>0.4984059220338517</v>
      </c>
      <c r="AG24" s="104">
        <v>1.0156772925033466</v>
      </c>
      <c r="AH24" s="104">
        <v>-0.4800197823936696</v>
      </c>
      <c r="AI24" s="104"/>
      <c r="AJ24" s="104">
        <v>0.4984059220338517</v>
      </c>
      <c r="AK24" s="104">
        <v>1.0156772925033466</v>
      </c>
      <c r="AL24" s="104">
        <v>-0.4800197823936696</v>
      </c>
      <c r="AM24" s="106" t="s">
        <v>107</v>
      </c>
      <c r="AN24" s="102"/>
      <c r="AO24" s="102"/>
      <c r="AP24" s="102"/>
      <c r="AQ24" s="102"/>
      <c r="AR24" s="102"/>
      <c r="AS24" s="102"/>
      <c r="AT24" s="102"/>
      <c r="AU24" s="102"/>
      <c r="AV24" s="102"/>
      <c r="AW24" s="102"/>
      <c r="AX24" s="102"/>
      <c r="AY24" s="102"/>
      <c r="AZ24" s="102"/>
      <c r="BA24" s="102"/>
      <c r="BB24" s="102"/>
      <c r="BC24" s="102"/>
      <c r="BD24" s="102"/>
      <c r="BE24" s="102"/>
    </row>
    <row r="25" spans="1:57" ht="27.6" x14ac:dyDescent="0.3">
      <c r="A25" s="100" t="s">
        <v>108</v>
      </c>
      <c r="B25" s="110">
        <v>4</v>
      </c>
      <c r="C25" s="110">
        <v>12</v>
      </c>
      <c r="D25" s="101">
        <v>78.253552920000004</v>
      </c>
      <c r="E25" s="101">
        <v>72.557367389999996</v>
      </c>
      <c r="F25" s="101">
        <v>5.6589339600000006</v>
      </c>
      <c r="G25" s="101">
        <v>3.7251569999999998E-2</v>
      </c>
      <c r="H25" s="101">
        <v>80.913819849999996</v>
      </c>
      <c r="I25" s="101">
        <v>75.799157810000011</v>
      </c>
      <c r="J25" s="101">
        <v>4.9629220399999996</v>
      </c>
      <c r="K25" s="101">
        <v>0.15174000000000001</v>
      </c>
      <c r="L25" s="101">
        <v>80.073300000000003</v>
      </c>
      <c r="M25" s="101">
        <v>74.697500000000005</v>
      </c>
      <c r="N25" s="101">
        <v>5.2154999999999996</v>
      </c>
      <c r="O25" s="101">
        <v>0.1603</v>
      </c>
      <c r="P25" s="101">
        <v>79.654800000000009</v>
      </c>
      <c r="Q25" s="101">
        <v>74.278999999999996</v>
      </c>
      <c r="R25" s="101">
        <v>5.2154999999999996</v>
      </c>
      <c r="S25" s="101">
        <v>0.1603</v>
      </c>
      <c r="T25" s="101">
        <v>42.235299999999995</v>
      </c>
      <c r="U25" s="101">
        <v>40.3476</v>
      </c>
      <c r="V25" s="101">
        <v>1.7932000000000001</v>
      </c>
      <c r="W25" s="101">
        <v>9.4500000000000001E-2</v>
      </c>
      <c r="X25" s="104">
        <v>-0.46027626319819759</v>
      </c>
      <c r="Y25" s="104">
        <v>-0.44392139004810716</v>
      </c>
      <c r="Z25" s="104">
        <v>-0.68312052894146169</v>
      </c>
      <c r="AA25" s="104">
        <v>1.5368058312710042</v>
      </c>
      <c r="AB25" s="104">
        <v>-0.47802118255822279</v>
      </c>
      <c r="AC25" s="104">
        <v>-0.46770384835757328</v>
      </c>
      <c r="AD25" s="104">
        <v>-0.63868060276844485</v>
      </c>
      <c r="AE25" s="104">
        <v>-0.37722419928825623</v>
      </c>
      <c r="AF25" s="104">
        <v>-0.47254203336193223</v>
      </c>
      <c r="AG25" s="104">
        <v>-0.45985340874861946</v>
      </c>
      <c r="AH25" s="104">
        <v>-0.65617869811139862</v>
      </c>
      <c r="AI25" s="104">
        <v>-0.41048034934497812</v>
      </c>
      <c r="AJ25" s="104">
        <v>-0.46977081104967944</v>
      </c>
      <c r="AK25" s="104">
        <v>-0.45681013476218035</v>
      </c>
      <c r="AL25" s="104">
        <v>-0.65617869811139862</v>
      </c>
      <c r="AM25" s="106">
        <v>-0.41048034934497812</v>
      </c>
      <c r="AN25" s="102"/>
      <c r="AO25" s="102"/>
      <c r="AP25" s="102"/>
      <c r="AQ25" s="102"/>
      <c r="AR25" s="102"/>
      <c r="AS25" s="102"/>
      <c r="AT25" s="102"/>
      <c r="AU25" s="102"/>
      <c r="AV25" s="102"/>
      <c r="AW25" s="102"/>
      <c r="AX25" s="102"/>
      <c r="AY25" s="102"/>
      <c r="AZ25" s="102"/>
      <c r="BA25" s="102"/>
      <c r="BB25" s="102"/>
      <c r="BC25" s="102"/>
      <c r="BD25" s="102"/>
      <c r="BE25" s="102"/>
    </row>
    <row r="26" spans="1:57" s="86" customFormat="1" ht="13.2" x14ac:dyDescent="0.3">
      <c r="A26" s="88" t="s">
        <v>109</v>
      </c>
      <c r="B26" s="111">
        <v>5</v>
      </c>
      <c r="C26" s="111"/>
      <c r="D26" s="84">
        <v>36.438251309999998</v>
      </c>
      <c r="E26" s="84">
        <v>31.680499999999999</v>
      </c>
      <c r="F26" s="84">
        <v>4.7576000000000001</v>
      </c>
      <c r="G26" s="84">
        <v>1.5131000000000001E-4</v>
      </c>
      <c r="H26" s="84">
        <v>48.202154880000002</v>
      </c>
      <c r="I26" s="84">
        <v>42.100554880000004</v>
      </c>
      <c r="J26" s="84">
        <v>6.0556000000000001</v>
      </c>
      <c r="K26" s="84">
        <v>4.5999999999999999E-2</v>
      </c>
      <c r="L26" s="84">
        <v>53.562800000000003</v>
      </c>
      <c r="M26" s="84">
        <v>47.866399999999999</v>
      </c>
      <c r="N26" s="84">
        <v>5.6213999999999995</v>
      </c>
      <c r="O26" s="84">
        <v>7.4999999999999997E-2</v>
      </c>
      <c r="P26" s="84">
        <v>53.238900000000001</v>
      </c>
      <c r="Q26" s="84">
        <v>47.542499999999997</v>
      </c>
      <c r="R26" s="84">
        <v>5.6213999999999995</v>
      </c>
      <c r="S26" s="84">
        <v>7.4999999999999997E-2</v>
      </c>
      <c r="T26" s="84">
        <v>52.4529</v>
      </c>
      <c r="U26" s="84">
        <v>46.265599999999999</v>
      </c>
      <c r="V26" s="84">
        <v>6.0872999999999999</v>
      </c>
      <c r="W26" s="84">
        <v>0.1</v>
      </c>
      <c r="X26" s="103">
        <v>0.4395010219824953</v>
      </c>
      <c r="Y26" s="103">
        <v>0.46038099146162459</v>
      </c>
      <c r="Z26" s="103">
        <v>0.27948965865142084</v>
      </c>
      <c r="AA26" s="103">
        <v>659.8948516291058</v>
      </c>
      <c r="AB26" s="103">
        <v>8.8185790253201279E-2</v>
      </c>
      <c r="AC26" s="103">
        <v>9.8930884209761594E-2</v>
      </c>
      <c r="AD26" s="103">
        <v>5.234823964594737E-3</v>
      </c>
      <c r="AE26" s="103">
        <v>1.1739130434782612</v>
      </c>
      <c r="AF26" s="103">
        <v>-2.0721470871575054E-2</v>
      </c>
      <c r="AG26" s="103">
        <v>-3.3443083248374639E-2</v>
      </c>
      <c r="AH26" s="103">
        <v>8.2879709680862446E-2</v>
      </c>
      <c r="AI26" s="103">
        <v>0.33333333333333348</v>
      </c>
      <c r="AJ26" s="103">
        <v>-1.47636408716183E-2</v>
      </c>
      <c r="AK26" s="103">
        <v>-2.6858074354524808E-2</v>
      </c>
      <c r="AL26" s="103">
        <v>8.2879709680862446E-2</v>
      </c>
      <c r="AM26" s="105">
        <v>0.33333333333333348</v>
      </c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</row>
    <row r="27" spans="1:57" ht="27.6" x14ac:dyDescent="0.3">
      <c r="A27" s="97" t="s">
        <v>110</v>
      </c>
      <c r="B27" s="112">
        <v>5</v>
      </c>
      <c r="C27" s="112">
        <v>5</v>
      </c>
      <c r="D27" s="101">
        <v>36.438251309999998</v>
      </c>
      <c r="E27" s="101">
        <v>31.680499999999999</v>
      </c>
      <c r="F27" s="101">
        <v>4.7576000000000001</v>
      </c>
      <c r="G27" s="101">
        <v>1.5131000000000001E-4</v>
      </c>
      <c r="H27" s="101">
        <v>48.202154880000002</v>
      </c>
      <c r="I27" s="101">
        <v>42.100554880000004</v>
      </c>
      <c r="J27" s="101">
        <v>6.0556000000000001</v>
      </c>
      <c r="K27" s="101">
        <v>4.5999999999999999E-2</v>
      </c>
      <c r="L27" s="101">
        <v>53.562800000000003</v>
      </c>
      <c r="M27" s="101">
        <v>47.866399999999999</v>
      </c>
      <c r="N27" s="101">
        <v>5.6213999999999995</v>
      </c>
      <c r="O27" s="101">
        <v>7.4999999999999997E-2</v>
      </c>
      <c r="P27" s="101">
        <v>53.238900000000001</v>
      </c>
      <c r="Q27" s="101">
        <v>47.542499999999997</v>
      </c>
      <c r="R27" s="101">
        <v>5.6213999999999995</v>
      </c>
      <c r="S27" s="101">
        <v>7.4999999999999997E-2</v>
      </c>
      <c r="T27" s="101">
        <v>52.4529</v>
      </c>
      <c r="U27" s="101">
        <v>46.265599999999999</v>
      </c>
      <c r="V27" s="101">
        <v>6.0872999999999999</v>
      </c>
      <c r="W27" s="101">
        <v>0.1</v>
      </c>
      <c r="X27" s="104">
        <v>0.4395010219824953</v>
      </c>
      <c r="Y27" s="104">
        <v>0.46038099146162459</v>
      </c>
      <c r="Z27" s="104">
        <v>0.27948965865142084</v>
      </c>
      <c r="AA27" s="104">
        <v>659.8948516291058</v>
      </c>
      <c r="AB27" s="104">
        <v>8.8185790253201279E-2</v>
      </c>
      <c r="AC27" s="104">
        <v>9.8930884209761594E-2</v>
      </c>
      <c r="AD27" s="104">
        <v>5.234823964594737E-3</v>
      </c>
      <c r="AE27" s="104">
        <v>1.1739130434782612</v>
      </c>
      <c r="AF27" s="104">
        <v>-2.0721470871575054E-2</v>
      </c>
      <c r="AG27" s="104">
        <v>-3.3443083248374639E-2</v>
      </c>
      <c r="AH27" s="104">
        <v>8.2879709680862446E-2</v>
      </c>
      <c r="AI27" s="104">
        <v>0.33333333333333348</v>
      </c>
      <c r="AJ27" s="104">
        <v>-1.47636408716183E-2</v>
      </c>
      <c r="AK27" s="104">
        <v>-2.6858074354524808E-2</v>
      </c>
      <c r="AL27" s="104">
        <v>8.2879709680862446E-2</v>
      </c>
      <c r="AM27" s="106">
        <v>0.33333333333333348</v>
      </c>
      <c r="AN27" s="102"/>
      <c r="AO27" s="102"/>
      <c r="AP27" s="102"/>
      <c r="AQ27" s="102"/>
      <c r="AR27" s="102"/>
      <c r="AS27" s="102"/>
      <c r="AT27" s="102"/>
      <c r="AU27" s="102"/>
      <c r="AV27" s="102"/>
      <c r="AW27" s="102"/>
      <c r="AX27" s="102"/>
      <c r="AY27" s="102"/>
      <c r="AZ27" s="102"/>
      <c r="BA27" s="102"/>
      <c r="BB27" s="102"/>
      <c r="BC27" s="102"/>
      <c r="BD27" s="102"/>
      <c r="BE27" s="102"/>
    </row>
    <row r="28" spans="1:57" s="86" customFormat="1" ht="13.2" x14ac:dyDescent="0.3">
      <c r="A28" s="83" t="s">
        <v>111</v>
      </c>
      <c r="B28" s="109">
        <v>7</v>
      </c>
      <c r="C28" s="109"/>
      <c r="D28" s="84">
        <v>52.570457879999999</v>
      </c>
      <c r="E28" s="84">
        <v>49.634923880000002</v>
      </c>
      <c r="F28" s="84">
        <v>2.9309369999999997</v>
      </c>
      <c r="G28" s="84">
        <v>4.5970000000000004E-3</v>
      </c>
      <c r="H28" s="84">
        <v>51.309130829999994</v>
      </c>
      <c r="I28" s="84">
        <v>48.612555309999998</v>
      </c>
      <c r="J28" s="84">
        <v>2.52275552</v>
      </c>
      <c r="K28" s="84">
        <v>0.17382</v>
      </c>
      <c r="L28" s="84">
        <v>53.7699</v>
      </c>
      <c r="M28" s="84">
        <v>51.663899999999998</v>
      </c>
      <c r="N28" s="84">
        <v>2.0449999999999999</v>
      </c>
      <c r="O28" s="84">
        <v>6.0999999999999999E-2</v>
      </c>
      <c r="P28" s="84">
        <v>52.983400000000003</v>
      </c>
      <c r="Q28" s="84">
        <v>50.877400000000002</v>
      </c>
      <c r="R28" s="84">
        <v>2.0449999999999999</v>
      </c>
      <c r="S28" s="84">
        <v>6.0999999999999999E-2</v>
      </c>
      <c r="T28" s="84">
        <v>49.404600000000002</v>
      </c>
      <c r="U28" s="84">
        <v>47.644599999999997</v>
      </c>
      <c r="V28" s="84">
        <v>1.6985999999999999</v>
      </c>
      <c r="W28" s="84">
        <v>6.1399999999999996E-2</v>
      </c>
      <c r="X28" s="103">
        <v>-6.0221234656668732E-2</v>
      </c>
      <c r="Y28" s="103">
        <v>-4.0099263268982055E-2</v>
      </c>
      <c r="Z28" s="103">
        <v>-0.42045837218609605</v>
      </c>
      <c r="AA28" s="103">
        <v>12.356536871872958</v>
      </c>
      <c r="AB28" s="103">
        <v>-3.7118750584767879E-2</v>
      </c>
      <c r="AC28" s="103">
        <v>-1.9911631960661036E-2</v>
      </c>
      <c r="AD28" s="103">
        <v>-0.32668862022745671</v>
      </c>
      <c r="AE28" s="103">
        <v>-0.64676101714417222</v>
      </c>
      <c r="AF28" s="103">
        <v>-8.1184826454949621E-2</v>
      </c>
      <c r="AG28" s="103">
        <v>-7.7797069133379471E-2</v>
      </c>
      <c r="AH28" s="103">
        <v>-0.1693887530562348</v>
      </c>
      <c r="AI28" s="103">
        <v>6.5573770491802463E-3</v>
      </c>
      <c r="AJ28" s="103">
        <v>-6.7545684119931892E-2</v>
      </c>
      <c r="AK28" s="103">
        <v>-6.3540982833242388E-2</v>
      </c>
      <c r="AL28" s="103">
        <v>-0.1693887530562348</v>
      </c>
      <c r="AM28" s="105">
        <v>6.5573770491802463E-3</v>
      </c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</row>
    <row r="29" spans="1:57" x14ac:dyDescent="0.3">
      <c r="A29" s="100" t="s">
        <v>112</v>
      </c>
      <c r="B29" s="110">
        <v>7</v>
      </c>
      <c r="C29" s="110">
        <v>9</v>
      </c>
      <c r="D29" s="101">
        <v>52.570457879999999</v>
      </c>
      <c r="E29" s="101">
        <v>49.634923880000002</v>
      </c>
      <c r="F29" s="101">
        <v>2.9309369999999997</v>
      </c>
      <c r="G29" s="101">
        <v>4.5970000000000004E-3</v>
      </c>
      <c r="H29" s="101">
        <v>51.309130829999994</v>
      </c>
      <c r="I29" s="101">
        <v>48.612555309999998</v>
      </c>
      <c r="J29" s="101">
        <v>2.52275552</v>
      </c>
      <c r="K29" s="101">
        <v>0.17382</v>
      </c>
      <c r="L29" s="101">
        <v>53.7699</v>
      </c>
      <c r="M29" s="101">
        <v>51.663899999999998</v>
      </c>
      <c r="N29" s="101">
        <v>2.0449999999999999</v>
      </c>
      <c r="O29" s="101">
        <v>6.0999999999999999E-2</v>
      </c>
      <c r="P29" s="101">
        <v>52.983400000000003</v>
      </c>
      <c r="Q29" s="101">
        <v>50.877400000000002</v>
      </c>
      <c r="R29" s="101">
        <v>2.0449999999999999</v>
      </c>
      <c r="S29" s="101">
        <v>6.0999999999999999E-2</v>
      </c>
      <c r="T29" s="101">
        <v>49.404600000000002</v>
      </c>
      <c r="U29" s="101">
        <v>47.644599999999997</v>
      </c>
      <c r="V29" s="101">
        <v>1.6985999999999999</v>
      </c>
      <c r="W29" s="101">
        <v>6.1399999999999996E-2</v>
      </c>
      <c r="X29" s="104">
        <v>-6.0221234656668732E-2</v>
      </c>
      <c r="Y29" s="104">
        <v>-4.0099263268982055E-2</v>
      </c>
      <c r="Z29" s="104">
        <v>-0.42045837218609605</v>
      </c>
      <c r="AA29" s="104">
        <v>12.356536871872958</v>
      </c>
      <c r="AB29" s="104">
        <v>-3.7118750584767879E-2</v>
      </c>
      <c r="AC29" s="104">
        <v>-1.9911631960661036E-2</v>
      </c>
      <c r="AD29" s="104">
        <v>-0.32668862022745671</v>
      </c>
      <c r="AE29" s="104">
        <v>-0.64676101714417222</v>
      </c>
      <c r="AF29" s="104">
        <v>-8.1184826454949621E-2</v>
      </c>
      <c r="AG29" s="104">
        <v>-7.7797069133379471E-2</v>
      </c>
      <c r="AH29" s="104">
        <v>-0.1693887530562348</v>
      </c>
      <c r="AI29" s="104">
        <v>6.5573770491802463E-3</v>
      </c>
      <c r="AJ29" s="104">
        <v>-6.7545684119931892E-2</v>
      </c>
      <c r="AK29" s="104">
        <v>-6.3540982833242388E-2</v>
      </c>
      <c r="AL29" s="104">
        <v>-0.1693887530562348</v>
      </c>
      <c r="AM29" s="106">
        <v>6.5573770491802463E-3</v>
      </c>
      <c r="AN29" s="102"/>
      <c r="AO29" s="102"/>
      <c r="AP29" s="102"/>
      <c r="AQ29" s="102"/>
      <c r="AR29" s="102"/>
      <c r="AS29" s="102"/>
      <c r="AT29" s="102"/>
      <c r="AU29" s="102"/>
      <c r="AV29" s="102"/>
      <c r="AW29" s="102"/>
      <c r="AX29" s="102"/>
      <c r="AY29" s="102"/>
      <c r="AZ29" s="102"/>
      <c r="BA29" s="102"/>
      <c r="BB29" s="102"/>
      <c r="BC29" s="102"/>
      <c r="BD29" s="102"/>
      <c r="BE29" s="102"/>
    </row>
    <row r="30" spans="1:57" s="86" customFormat="1" ht="13.2" x14ac:dyDescent="0.3">
      <c r="A30" s="87" t="s">
        <v>113</v>
      </c>
      <c r="B30" s="109">
        <v>8</v>
      </c>
      <c r="C30" s="109"/>
      <c r="D30" s="84">
        <v>19.242069300000001</v>
      </c>
      <c r="E30" s="84">
        <v>18.514199300000001</v>
      </c>
      <c r="F30" s="84">
        <v>0.712283</v>
      </c>
      <c r="G30" s="84">
        <v>1.5587E-2</v>
      </c>
      <c r="H30" s="84">
        <v>23.376106330000002</v>
      </c>
      <c r="I30" s="84">
        <v>22.368691160000001</v>
      </c>
      <c r="J30" s="84">
        <v>1.00741517</v>
      </c>
      <c r="K30" s="84">
        <v>0</v>
      </c>
      <c r="L30" s="84">
        <v>27.8703</v>
      </c>
      <c r="M30" s="84">
        <v>26.854400000000002</v>
      </c>
      <c r="N30" s="84">
        <v>1.0151000000000001</v>
      </c>
      <c r="O30" s="84">
        <v>8.0000000000000004E-4</v>
      </c>
      <c r="P30" s="84">
        <v>27.686199999999996</v>
      </c>
      <c r="Q30" s="84">
        <v>26.670300000000001</v>
      </c>
      <c r="R30" s="84">
        <v>1.0151000000000001</v>
      </c>
      <c r="S30" s="84">
        <v>8.0000000000000004E-4</v>
      </c>
      <c r="T30" s="84">
        <v>33.902899999999995</v>
      </c>
      <c r="U30" s="84">
        <v>32.402299999999997</v>
      </c>
      <c r="V30" s="84">
        <v>1.4991999999999999</v>
      </c>
      <c r="W30" s="84">
        <v>1.4E-3</v>
      </c>
      <c r="X30" s="103">
        <v>0.76191549211393772</v>
      </c>
      <c r="Y30" s="103">
        <v>0.75013239702999179</v>
      </c>
      <c r="Z30" s="103">
        <v>1.1047813860502074</v>
      </c>
      <c r="AA30" s="103">
        <v>-0.91018156155770835</v>
      </c>
      <c r="AB30" s="103">
        <v>0.45032280061501551</v>
      </c>
      <c r="AC30" s="103">
        <v>0.44855591988959254</v>
      </c>
      <c r="AD30" s="103">
        <v>0.48816500351091574</v>
      </c>
      <c r="AE30" s="103"/>
      <c r="AF30" s="103">
        <v>0.21645263954819272</v>
      </c>
      <c r="AG30" s="103">
        <v>0.20659184342230685</v>
      </c>
      <c r="AH30" s="103">
        <v>0.47689882770170389</v>
      </c>
      <c r="AI30" s="103">
        <v>0.75</v>
      </c>
      <c r="AJ30" s="103">
        <v>0.22454146831273336</v>
      </c>
      <c r="AK30" s="103">
        <v>0.21492071705230154</v>
      </c>
      <c r="AL30" s="103">
        <v>0.47689882770170389</v>
      </c>
      <c r="AM30" s="105">
        <v>0.75</v>
      </c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</row>
    <row r="31" spans="1:57" ht="26.4" x14ac:dyDescent="0.3">
      <c r="A31" s="89" t="s">
        <v>114</v>
      </c>
      <c r="B31" s="110">
        <v>8</v>
      </c>
      <c r="C31" s="110">
        <v>4</v>
      </c>
      <c r="D31" s="101">
        <v>19.242069300000001</v>
      </c>
      <c r="E31" s="101">
        <v>18.514199300000001</v>
      </c>
      <c r="F31" s="101">
        <v>0.712283</v>
      </c>
      <c r="G31" s="101">
        <v>1.5587E-2</v>
      </c>
      <c r="H31" s="101">
        <v>23.376106330000002</v>
      </c>
      <c r="I31" s="101">
        <v>22.368691160000001</v>
      </c>
      <c r="J31" s="101">
        <v>1.00741517</v>
      </c>
      <c r="K31" s="101">
        <v>0</v>
      </c>
      <c r="L31" s="101">
        <v>27.8703</v>
      </c>
      <c r="M31" s="101">
        <v>26.854400000000002</v>
      </c>
      <c r="N31" s="101">
        <v>1.0151000000000001</v>
      </c>
      <c r="O31" s="101">
        <v>8.0000000000000004E-4</v>
      </c>
      <c r="P31" s="101">
        <v>27.686199999999996</v>
      </c>
      <c r="Q31" s="101">
        <v>26.670300000000001</v>
      </c>
      <c r="R31" s="101">
        <v>1.0151000000000001</v>
      </c>
      <c r="S31" s="101">
        <v>8.0000000000000004E-4</v>
      </c>
      <c r="T31" s="101">
        <v>33.902899999999995</v>
      </c>
      <c r="U31" s="101">
        <v>32.402299999999997</v>
      </c>
      <c r="V31" s="101">
        <v>1.4991999999999999</v>
      </c>
      <c r="W31" s="101">
        <v>1.4E-3</v>
      </c>
      <c r="X31" s="104">
        <v>0.76191549211393772</v>
      </c>
      <c r="Y31" s="104">
        <v>0.75013239702999179</v>
      </c>
      <c r="Z31" s="104">
        <v>1.1047813860502074</v>
      </c>
      <c r="AA31" s="104">
        <v>-0.91018156155770835</v>
      </c>
      <c r="AB31" s="104">
        <v>0.45032280061501551</v>
      </c>
      <c r="AC31" s="104">
        <v>0.44855591988959254</v>
      </c>
      <c r="AD31" s="104">
        <v>0.48816500351091574</v>
      </c>
      <c r="AE31" s="104"/>
      <c r="AF31" s="104">
        <v>0.21645263954819272</v>
      </c>
      <c r="AG31" s="104">
        <v>0.20659184342230685</v>
      </c>
      <c r="AH31" s="104">
        <v>0.47689882770170389</v>
      </c>
      <c r="AI31" s="104">
        <v>0.75</v>
      </c>
      <c r="AJ31" s="104">
        <v>0.22454146831273336</v>
      </c>
      <c r="AK31" s="104">
        <v>0.21492071705230154</v>
      </c>
      <c r="AL31" s="104">
        <v>0.47689882770170389</v>
      </c>
      <c r="AM31" s="106">
        <v>0.75</v>
      </c>
      <c r="AN31" s="102"/>
      <c r="AO31" s="102"/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</row>
    <row r="32" spans="1:57" s="86" customFormat="1" ht="13.2" x14ac:dyDescent="0.3">
      <c r="A32" s="87" t="s">
        <v>115</v>
      </c>
      <c r="B32" s="109">
        <v>9</v>
      </c>
      <c r="C32" s="109"/>
      <c r="D32" s="84">
        <v>82.486040840000015</v>
      </c>
      <c r="E32" s="84">
        <v>77.671142000000003</v>
      </c>
      <c r="F32" s="84">
        <v>4.7148202899999996</v>
      </c>
      <c r="G32" s="84">
        <v>0.10007855</v>
      </c>
      <c r="H32" s="84">
        <v>86.670261320000009</v>
      </c>
      <c r="I32" s="84">
        <v>83.927742070000008</v>
      </c>
      <c r="J32" s="84">
        <v>2.6736158400000001</v>
      </c>
      <c r="K32" s="84">
        <v>6.8903410000000012E-2</v>
      </c>
      <c r="L32" s="84">
        <v>84.96690000000001</v>
      </c>
      <c r="M32" s="84">
        <v>81.266800000000003</v>
      </c>
      <c r="N32" s="84">
        <v>3.5221</v>
      </c>
      <c r="O32" s="84">
        <v>0.17799999999999999</v>
      </c>
      <c r="P32" s="84">
        <v>82.780400000000014</v>
      </c>
      <c r="Q32" s="84">
        <v>79.080300000000008</v>
      </c>
      <c r="R32" s="84">
        <v>3.5221</v>
      </c>
      <c r="S32" s="84">
        <v>0.17799999999999999</v>
      </c>
      <c r="T32" s="84">
        <v>78.423099999999991</v>
      </c>
      <c r="U32" s="84">
        <v>75.947199999999995</v>
      </c>
      <c r="V32" s="84">
        <v>2.2979000000000003</v>
      </c>
      <c r="W32" s="84">
        <v>0.17799999999999999</v>
      </c>
      <c r="X32" s="103">
        <v>-4.9256101985558964E-2</v>
      </c>
      <c r="Y32" s="103">
        <v>-2.2195399161248464E-2</v>
      </c>
      <c r="Z32" s="103">
        <v>-0.51262193282874824</v>
      </c>
      <c r="AA32" s="103">
        <v>0.7786029074162244</v>
      </c>
      <c r="AB32" s="103">
        <v>-9.5155606945157567E-2</v>
      </c>
      <c r="AC32" s="103">
        <v>-9.508824940558791E-2</v>
      </c>
      <c r="AD32" s="103">
        <v>-0.1405272344586348</v>
      </c>
      <c r="AE32" s="103">
        <v>1.5833264275309444</v>
      </c>
      <c r="AF32" s="103">
        <v>-7.7015873240050214E-2</v>
      </c>
      <c r="AG32" s="103">
        <v>-6.5458465203502625E-2</v>
      </c>
      <c r="AH32" s="103">
        <v>-0.34757672979188547</v>
      </c>
      <c r="AI32" s="103">
        <v>0</v>
      </c>
      <c r="AJ32" s="103">
        <v>-5.2636856067378557E-2</v>
      </c>
      <c r="AK32" s="103">
        <v>-3.961922248651073E-2</v>
      </c>
      <c r="AL32" s="103">
        <v>-0.34757672979188547</v>
      </c>
      <c r="AM32" s="105">
        <v>0</v>
      </c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</row>
    <row r="33" spans="1:57" x14ac:dyDescent="0.3">
      <c r="A33" s="89" t="s">
        <v>116</v>
      </c>
      <c r="B33" s="110">
        <v>9</v>
      </c>
      <c r="C33" s="110">
        <v>9</v>
      </c>
      <c r="D33" s="101">
        <v>82.486040840000015</v>
      </c>
      <c r="E33" s="101">
        <v>77.671142000000003</v>
      </c>
      <c r="F33" s="101">
        <v>4.7148202899999996</v>
      </c>
      <c r="G33" s="101">
        <v>0.10007855</v>
      </c>
      <c r="H33" s="101">
        <v>86.670261320000009</v>
      </c>
      <c r="I33" s="101">
        <v>83.927742070000008</v>
      </c>
      <c r="J33" s="101">
        <v>2.6736158400000001</v>
      </c>
      <c r="K33" s="101">
        <v>6.8903410000000012E-2</v>
      </c>
      <c r="L33" s="101">
        <v>84.96690000000001</v>
      </c>
      <c r="M33" s="101">
        <v>81.266800000000003</v>
      </c>
      <c r="N33" s="101">
        <v>3.5221</v>
      </c>
      <c r="O33" s="101">
        <v>0.17799999999999999</v>
      </c>
      <c r="P33" s="101">
        <v>82.780400000000014</v>
      </c>
      <c r="Q33" s="101">
        <v>79.080300000000008</v>
      </c>
      <c r="R33" s="101">
        <v>3.5221</v>
      </c>
      <c r="S33" s="101">
        <v>0.17799999999999999</v>
      </c>
      <c r="T33" s="101">
        <v>78.423099999999991</v>
      </c>
      <c r="U33" s="101">
        <v>75.947199999999995</v>
      </c>
      <c r="V33" s="101">
        <v>2.2979000000000003</v>
      </c>
      <c r="W33" s="101">
        <v>0.17799999999999999</v>
      </c>
      <c r="X33" s="104">
        <v>-4.9256101985558964E-2</v>
      </c>
      <c r="Y33" s="104">
        <v>-2.2195399161248464E-2</v>
      </c>
      <c r="Z33" s="104">
        <v>-0.51262193282874824</v>
      </c>
      <c r="AA33" s="104">
        <v>0.7786029074162244</v>
      </c>
      <c r="AB33" s="104">
        <v>-9.5155606945157567E-2</v>
      </c>
      <c r="AC33" s="104">
        <v>-9.508824940558791E-2</v>
      </c>
      <c r="AD33" s="104">
        <v>-0.1405272344586348</v>
      </c>
      <c r="AE33" s="104">
        <v>1.5833264275309444</v>
      </c>
      <c r="AF33" s="104">
        <v>-7.7015873240050214E-2</v>
      </c>
      <c r="AG33" s="104">
        <v>-6.5458465203502625E-2</v>
      </c>
      <c r="AH33" s="104">
        <v>-0.34757672979188547</v>
      </c>
      <c r="AI33" s="104">
        <v>0</v>
      </c>
      <c r="AJ33" s="104">
        <v>-5.2636856067378557E-2</v>
      </c>
      <c r="AK33" s="104">
        <v>-3.961922248651073E-2</v>
      </c>
      <c r="AL33" s="104">
        <v>-0.34757672979188547</v>
      </c>
      <c r="AM33" s="106">
        <v>0</v>
      </c>
      <c r="AN33" s="102"/>
      <c r="AO33" s="102"/>
      <c r="AP33" s="102"/>
      <c r="AQ33" s="102"/>
      <c r="AR33" s="102"/>
      <c r="AS33" s="102"/>
      <c r="AT33" s="102"/>
      <c r="AU33" s="102"/>
      <c r="AV33" s="102"/>
      <c r="AW33" s="102"/>
      <c r="AX33" s="102"/>
      <c r="AY33" s="102"/>
      <c r="AZ33" s="102"/>
      <c r="BA33" s="102"/>
      <c r="BB33" s="102"/>
      <c r="BC33" s="102"/>
      <c r="BD33" s="102"/>
      <c r="BE33" s="102"/>
    </row>
    <row r="34" spans="1:57" s="86" customFormat="1" ht="13.2" x14ac:dyDescent="0.3">
      <c r="A34" s="88" t="s">
        <v>117</v>
      </c>
      <c r="B34" s="111">
        <v>12</v>
      </c>
      <c r="C34" s="111"/>
      <c r="D34" s="84">
        <v>19.99861306</v>
      </c>
      <c r="E34" s="84">
        <v>19.05530246</v>
      </c>
      <c r="F34" s="84">
        <v>0.94091859999999994</v>
      </c>
      <c r="G34" s="84">
        <v>2.392E-3</v>
      </c>
      <c r="H34" s="84">
        <v>21.312487820000001</v>
      </c>
      <c r="I34" s="84">
        <v>20.456535190000004</v>
      </c>
      <c r="J34" s="84">
        <v>0.85595262999999999</v>
      </c>
      <c r="K34" s="84">
        <v>0</v>
      </c>
      <c r="L34" s="84">
        <v>21.1417</v>
      </c>
      <c r="M34" s="84">
        <v>20.194500000000001</v>
      </c>
      <c r="N34" s="84">
        <v>0.94520000000000004</v>
      </c>
      <c r="O34" s="84">
        <v>2E-3</v>
      </c>
      <c r="P34" s="84">
        <v>20.8047</v>
      </c>
      <c r="Q34" s="84">
        <v>19.857500000000002</v>
      </c>
      <c r="R34" s="84">
        <v>0.94520000000000004</v>
      </c>
      <c r="S34" s="84">
        <v>2E-3</v>
      </c>
      <c r="T34" s="84">
        <v>19.360499999999998</v>
      </c>
      <c r="U34" s="84">
        <v>18.601099999999999</v>
      </c>
      <c r="V34" s="84">
        <v>0.75739999999999996</v>
      </c>
      <c r="W34" s="84">
        <v>2E-3</v>
      </c>
      <c r="X34" s="103">
        <v>-3.1907865714763783E-2</v>
      </c>
      <c r="Y34" s="103">
        <v>-2.3836014198853173E-2</v>
      </c>
      <c r="Z34" s="103">
        <v>-0.19504195155670212</v>
      </c>
      <c r="AA34" s="103">
        <v>-0.16387959866220736</v>
      </c>
      <c r="AB34" s="103">
        <v>-9.1588923662315191E-2</v>
      </c>
      <c r="AC34" s="103">
        <v>-9.0701341784752421E-2</v>
      </c>
      <c r="AD34" s="103">
        <v>-0.11513794869699745</v>
      </c>
      <c r="AE34" s="103"/>
      <c r="AF34" s="103">
        <v>-8.4250556956157796E-2</v>
      </c>
      <c r="AG34" s="103">
        <v>-7.8902671519473278E-2</v>
      </c>
      <c r="AH34" s="103">
        <v>-0.19868810833686001</v>
      </c>
      <c r="AI34" s="103">
        <v>0</v>
      </c>
      <c r="AJ34" s="103">
        <v>-6.9417006734055375E-2</v>
      </c>
      <c r="AK34" s="103">
        <v>-6.3270804481933896E-2</v>
      </c>
      <c r="AL34" s="103">
        <v>-0.19868810833686001</v>
      </c>
      <c r="AM34" s="105">
        <v>0</v>
      </c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</row>
    <row r="35" spans="1:57" ht="27.6" x14ac:dyDescent="0.3">
      <c r="A35" s="97" t="s">
        <v>118</v>
      </c>
      <c r="B35" s="112">
        <v>12</v>
      </c>
      <c r="C35" s="112">
        <v>4</v>
      </c>
      <c r="D35" s="101">
        <v>19.99861306</v>
      </c>
      <c r="E35" s="101">
        <v>19.05530246</v>
      </c>
      <c r="F35" s="101">
        <v>0.94091859999999994</v>
      </c>
      <c r="G35" s="101">
        <v>2.392E-3</v>
      </c>
      <c r="H35" s="101">
        <v>21.312487820000001</v>
      </c>
      <c r="I35" s="101">
        <v>20.456535190000004</v>
      </c>
      <c r="J35" s="101">
        <v>0.85595262999999999</v>
      </c>
      <c r="K35" s="101">
        <v>0</v>
      </c>
      <c r="L35" s="101">
        <v>21.1417</v>
      </c>
      <c r="M35" s="101">
        <v>20.194500000000001</v>
      </c>
      <c r="N35" s="101">
        <v>0.94520000000000004</v>
      </c>
      <c r="O35" s="101">
        <v>2E-3</v>
      </c>
      <c r="P35" s="101">
        <v>20.8047</v>
      </c>
      <c r="Q35" s="101">
        <v>19.857500000000002</v>
      </c>
      <c r="R35" s="101">
        <v>0.94520000000000004</v>
      </c>
      <c r="S35" s="101">
        <v>2E-3</v>
      </c>
      <c r="T35" s="101">
        <v>19.360499999999998</v>
      </c>
      <c r="U35" s="101">
        <v>18.601099999999999</v>
      </c>
      <c r="V35" s="101">
        <v>0.75739999999999996</v>
      </c>
      <c r="W35" s="101">
        <v>2E-3</v>
      </c>
      <c r="X35" s="104">
        <v>-3.1907865714763783E-2</v>
      </c>
      <c r="Y35" s="104">
        <v>-2.3836014198853173E-2</v>
      </c>
      <c r="Z35" s="104">
        <v>-0.19504195155670212</v>
      </c>
      <c r="AA35" s="104">
        <v>-0.16387959866220736</v>
      </c>
      <c r="AB35" s="104">
        <v>-9.1588923662315191E-2</v>
      </c>
      <c r="AC35" s="104">
        <v>-9.0701341784752421E-2</v>
      </c>
      <c r="AD35" s="104">
        <v>-0.11513794869699745</v>
      </c>
      <c r="AE35" s="104"/>
      <c r="AF35" s="104">
        <v>-8.4250556956157796E-2</v>
      </c>
      <c r="AG35" s="104">
        <v>-7.8902671519473278E-2</v>
      </c>
      <c r="AH35" s="104">
        <v>-0.19868810833686001</v>
      </c>
      <c r="AI35" s="104">
        <v>0</v>
      </c>
      <c r="AJ35" s="104">
        <v>-6.9417006734055375E-2</v>
      </c>
      <c r="AK35" s="104">
        <v>-6.3270804481933896E-2</v>
      </c>
      <c r="AL35" s="104">
        <v>-0.19868810833686001</v>
      </c>
      <c r="AM35" s="106">
        <v>0</v>
      </c>
      <c r="AN35" s="102"/>
      <c r="AO35" s="102"/>
      <c r="AP35" s="102"/>
      <c r="AQ35" s="102"/>
      <c r="AR35" s="102"/>
      <c r="AS35" s="102"/>
      <c r="AT35" s="102"/>
      <c r="AU35" s="102"/>
      <c r="AV35" s="102"/>
      <c r="AW35" s="102"/>
      <c r="AX35" s="102"/>
      <c r="AY35" s="102"/>
      <c r="AZ35" s="102"/>
      <c r="BA35" s="102"/>
      <c r="BB35" s="102"/>
      <c r="BC35" s="102"/>
      <c r="BD35" s="102"/>
      <c r="BE35" s="102"/>
    </row>
    <row r="36" spans="1:57" s="94" customFormat="1" thickBot="1" x14ac:dyDescent="0.35">
      <c r="A36" s="90" t="s">
        <v>119</v>
      </c>
      <c r="B36" s="91"/>
      <c r="C36" s="91"/>
      <c r="D36" s="92">
        <v>1598.2359704799999</v>
      </c>
      <c r="E36" s="92">
        <v>1387.32971372</v>
      </c>
      <c r="F36" s="92">
        <v>205.29422831000002</v>
      </c>
      <c r="G36" s="92">
        <v>5.6120284500000004</v>
      </c>
      <c r="H36" s="92">
        <v>1747.0323370600004</v>
      </c>
      <c r="I36" s="92">
        <v>1497.5822110700003</v>
      </c>
      <c r="J36" s="92">
        <v>242.79405416</v>
      </c>
      <c r="K36" s="92">
        <v>6.656071830000001</v>
      </c>
      <c r="L36" s="92">
        <v>1744.3402999999996</v>
      </c>
      <c r="M36" s="92">
        <v>1555.1684999999998</v>
      </c>
      <c r="N36" s="92">
        <v>184.02639999999994</v>
      </c>
      <c r="O36" s="92">
        <v>5.1453999999999995</v>
      </c>
      <c r="P36" s="92">
        <v>1729.0193000000002</v>
      </c>
      <c r="Q36" s="92">
        <v>1540.7509000000002</v>
      </c>
      <c r="R36" s="92">
        <v>183.12749999999994</v>
      </c>
      <c r="S36" s="92">
        <v>5.1408999999999994</v>
      </c>
      <c r="T36" s="92">
        <v>1625.1755000000001</v>
      </c>
      <c r="U36" s="92">
        <v>1478.2612000000001</v>
      </c>
      <c r="V36" s="92">
        <v>143.24119999999996</v>
      </c>
      <c r="W36" s="92">
        <v>3.6730999999999994</v>
      </c>
      <c r="X36" s="107">
        <v>1.6855789769210094E-2</v>
      </c>
      <c r="Y36" s="107">
        <v>6.5544250498445367E-2</v>
      </c>
      <c r="Z36" s="107">
        <v>-0.30226387181376702</v>
      </c>
      <c r="AA36" s="107">
        <v>-0.34549512128720605</v>
      </c>
      <c r="AB36" s="107">
        <v>-6.9750762178259151E-2</v>
      </c>
      <c r="AC36" s="107">
        <v>-1.2901469399930754E-2</v>
      </c>
      <c r="AD36" s="107">
        <v>-0.41003003349659972</v>
      </c>
      <c r="AE36" s="107">
        <v>-0.44815799861943517</v>
      </c>
      <c r="AF36" s="107">
        <v>-6.8315110302731408E-2</v>
      </c>
      <c r="AG36" s="107">
        <v>-4.9452712037312718E-2</v>
      </c>
      <c r="AH36" s="107">
        <v>-0.22162689701042892</v>
      </c>
      <c r="AI36" s="107">
        <v>-0.28613907567924757</v>
      </c>
      <c r="AJ36" s="107">
        <v>-6.0059364288183481E-2</v>
      </c>
      <c r="AK36" s="107">
        <v>-4.0557951321008479E-2</v>
      </c>
      <c r="AL36" s="107">
        <v>-0.21780617329456253</v>
      </c>
      <c r="AM36" s="108">
        <v>-0.28551420957419915</v>
      </c>
      <c r="AN36" s="93"/>
      <c r="AO36" s="93"/>
      <c r="AP36" s="93"/>
      <c r="AQ36" s="93"/>
      <c r="AR36" s="93"/>
      <c r="AS36" s="93"/>
      <c r="AT36" s="93"/>
      <c r="AU36" s="93"/>
      <c r="AV36" s="93"/>
      <c r="AW36" s="93"/>
      <c r="AX36" s="93"/>
      <c r="AY36" s="93"/>
      <c r="AZ36" s="93"/>
      <c r="BA36" s="93"/>
      <c r="BB36" s="93"/>
      <c r="BC36" s="93"/>
      <c r="BD36" s="93"/>
      <c r="BE36" s="93"/>
    </row>
    <row r="37" spans="1:57" ht="14.4" thickTop="1" x14ac:dyDescent="0.3"/>
  </sheetData>
  <mergeCells count="33">
    <mergeCell ref="AK6:AM6"/>
    <mergeCell ref="I6:K6"/>
    <mergeCell ref="T5:W5"/>
    <mergeCell ref="X6:X7"/>
    <mergeCell ref="H6:H7"/>
    <mergeCell ref="X5:AA5"/>
    <mergeCell ref="L6:L7"/>
    <mergeCell ref="M6:O6"/>
    <mergeCell ref="P6:P7"/>
    <mergeCell ref="Q6:S6"/>
    <mergeCell ref="T6:T7"/>
    <mergeCell ref="U6:W6"/>
    <mergeCell ref="AB6:AB7"/>
    <mergeCell ref="AC6:AE6"/>
    <mergeCell ref="AF6:AF7"/>
    <mergeCell ref="AG6:AI6"/>
    <mergeCell ref="AJ6:AJ7"/>
    <mergeCell ref="AK1:AM1"/>
    <mergeCell ref="AK4:AM4"/>
    <mergeCell ref="A5:A7"/>
    <mergeCell ref="B5:B7"/>
    <mergeCell ref="C5:C7"/>
    <mergeCell ref="D5:G5"/>
    <mergeCell ref="H5:K5"/>
    <mergeCell ref="L5:O5"/>
    <mergeCell ref="P5:S5"/>
    <mergeCell ref="AB5:AE5"/>
    <mergeCell ref="AF5:AI5"/>
    <mergeCell ref="AJ5:AM5"/>
    <mergeCell ref="D6:D7"/>
    <mergeCell ref="E6:G6"/>
    <mergeCell ref="A3:AM3"/>
    <mergeCell ref="Y6:AA6"/>
  </mergeCells>
  <pageMargins left="0.39370078740157483" right="0.39370078740157483" top="0.74803149606299213" bottom="0.74803149606299213" header="0.31496062992125984" footer="0.31496062992125984"/>
  <pageSetup paperSize="9" scale="70" fitToHeight="0" orientation="landscape" r:id="rId1"/>
  <headerFooter>
    <oddFooter>&amp;CСтраница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119"/>
  <sheetViews>
    <sheetView zoomScaleNormal="100" workbookViewId="0">
      <selection activeCell="A9" sqref="A9"/>
    </sheetView>
  </sheetViews>
  <sheetFormatPr defaultRowHeight="13.8" x14ac:dyDescent="0.25"/>
  <cols>
    <col min="1" max="1" width="44.77734375" style="132" customWidth="1"/>
    <col min="2" max="2" width="15.5546875" style="132" hidden="1" customWidth="1"/>
    <col min="3" max="3" width="13.33203125" style="133" hidden="1" customWidth="1"/>
    <col min="4" max="4" width="14.44140625" style="133" hidden="1" customWidth="1"/>
    <col min="5" max="5" width="15.5546875" style="133" hidden="1" customWidth="1"/>
    <col min="6" max="6" width="15.88671875" style="133" customWidth="1"/>
    <col min="7" max="7" width="13.21875" style="133" customWidth="1"/>
    <col min="8" max="8" width="11.33203125" style="133" customWidth="1"/>
    <col min="9" max="9" width="11" style="133" customWidth="1"/>
    <col min="10" max="10" width="13.88671875" style="133" customWidth="1"/>
    <col min="11" max="11" width="12.6640625" style="133" customWidth="1"/>
    <col min="12" max="12" width="10" style="133" customWidth="1"/>
    <col min="13" max="13" width="11.109375" style="133" customWidth="1"/>
    <col min="14" max="14" width="15.5546875" style="133" customWidth="1"/>
    <col min="15" max="15" width="15.77734375" style="132" customWidth="1"/>
    <col min="16" max="16" width="11" style="132" customWidth="1"/>
    <col min="17" max="17" width="10.6640625" style="132" customWidth="1"/>
    <col min="18" max="18" width="12.5546875" style="132" hidden="1" customWidth="1"/>
    <col min="19" max="19" width="12.77734375" style="132" hidden="1" customWidth="1"/>
    <col min="20" max="16384" width="8.88671875" style="132"/>
  </cols>
  <sheetData>
    <row r="1" spans="1:27" x14ac:dyDescent="0.25">
      <c r="Q1" s="134" t="s">
        <v>410</v>
      </c>
    </row>
    <row r="3" spans="1:27" ht="15.6" customHeight="1" x14ac:dyDescent="0.25">
      <c r="A3" s="268" t="s">
        <v>146</v>
      </c>
      <c r="B3" s="268"/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  <c r="N3" s="268"/>
      <c r="O3" s="268"/>
      <c r="P3" s="268"/>
      <c r="Q3" s="268"/>
      <c r="R3" s="135"/>
      <c r="S3" s="135"/>
      <c r="T3" s="135"/>
      <c r="U3" s="135"/>
      <c r="V3" s="135"/>
      <c r="W3" s="135"/>
      <c r="X3" s="135"/>
      <c r="Y3" s="135"/>
      <c r="Z3" s="135"/>
      <c r="AA3" s="135"/>
    </row>
    <row r="4" spans="1:27" ht="14.4" thickBot="1" x14ac:dyDescent="0.3">
      <c r="P4" s="269" t="s">
        <v>14</v>
      </c>
      <c r="Q4" s="269"/>
      <c r="R4" s="270" t="s">
        <v>147</v>
      </c>
      <c r="S4" s="270"/>
    </row>
    <row r="5" spans="1:27" ht="84" customHeight="1" thickTop="1" x14ac:dyDescent="0.25">
      <c r="A5" s="271" t="s">
        <v>0</v>
      </c>
      <c r="B5" s="271" t="s">
        <v>148</v>
      </c>
      <c r="C5" s="272" t="s">
        <v>149</v>
      </c>
      <c r="D5" s="272" t="s">
        <v>124</v>
      </c>
      <c r="E5" s="272" t="s">
        <v>125</v>
      </c>
      <c r="F5" s="264" t="s">
        <v>369</v>
      </c>
      <c r="G5" s="266" t="s">
        <v>150</v>
      </c>
      <c r="H5" s="264" t="s">
        <v>151</v>
      </c>
      <c r="I5" s="264"/>
      <c r="J5" s="264" t="s">
        <v>152</v>
      </c>
      <c r="K5" s="266" t="s">
        <v>153</v>
      </c>
      <c r="L5" s="264" t="s">
        <v>154</v>
      </c>
      <c r="M5" s="264"/>
      <c r="N5" s="264" t="s">
        <v>155</v>
      </c>
      <c r="O5" s="266" t="s">
        <v>156</v>
      </c>
      <c r="P5" s="264" t="s">
        <v>157</v>
      </c>
      <c r="Q5" s="264"/>
      <c r="R5" s="273" t="s">
        <v>158</v>
      </c>
      <c r="S5" s="274" t="s">
        <v>159</v>
      </c>
    </row>
    <row r="6" spans="1:27" ht="13.8" customHeight="1" x14ac:dyDescent="0.25">
      <c r="A6" s="271"/>
      <c r="B6" s="271"/>
      <c r="C6" s="272"/>
      <c r="D6" s="272"/>
      <c r="E6" s="272"/>
      <c r="F6" s="265"/>
      <c r="G6" s="267"/>
      <c r="H6" s="136" t="s">
        <v>160</v>
      </c>
      <c r="I6" s="136" t="s">
        <v>15</v>
      </c>
      <c r="J6" s="265"/>
      <c r="K6" s="267"/>
      <c r="L6" s="136" t="s">
        <v>160</v>
      </c>
      <c r="M6" s="136" t="s">
        <v>15</v>
      </c>
      <c r="N6" s="265"/>
      <c r="O6" s="267"/>
      <c r="P6" s="136" t="s">
        <v>160</v>
      </c>
      <c r="Q6" s="136" t="s">
        <v>15</v>
      </c>
      <c r="R6" s="273"/>
      <c r="S6" s="274"/>
    </row>
    <row r="7" spans="1:27" ht="10.199999999999999" customHeight="1" x14ac:dyDescent="0.25">
      <c r="A7" s="137" t="s">
        <v>23</v>
      </c>
      <c r="B7" s="137"/>
      <c r="C7" s="138"/>
      <c r="D7" s="138"/>
      <c r="E7" s="138"/>
      <c r="F7" s="138">
        <v>1</v>
      </c>
      <c r="G7" s="139">
        <v>2</v>
      </c>
      <c r="H7" s="139" t="s">
        <v>161</v>
      </c>
      <c r="I7" s="139" t="s">
        <v>162</v>
      </c>
      <c r="J7" s="138">
        <v>5</v>
      </c>
      <c r="K7" s="139">
        <v>6</v>
      </c>
      <c r="L7" s="139" t="s">
        <v>163</v>
      </c>
      <c r="M7" s="139" t="s">
        <v>164</v>
      </c>
      <c r="N7" s="138">
        <v>9</v>
      </c>
      <c r="O7" s="139">
        <v>10</v>
      </c>
      <c r="P7" s="139" t="s">
        <v>165</v>
      </c>
      <c r="Q7" s="139" t="s">
        <v>166</v>
      </c>
      <c r="R7" s="140"/>
      <c r="S7" s="141"/>
    </row>
    <row r="8" spans="1:27" ht="41.4" x14ac:dyDescent="0.25">
      <c r="A8" s="142" t="s">
        <v>167</v>
      </c>
      <c r="B8" s="143" t="s">
        <v>168</v>
      </c>
      <c r="C8" s="144">
        <f>SUM(C9:C16)</f>
        <v>12134.02</v>
      </c>
      <c r="D8" s="144">
        <f>SUM(D9:D16)</f>
        <v>13131.6908</v>
      </c>
      <c r="E8" s="144">
        <f>SUM(E9:E16)</f>
        <v>12143.8959</v>
      </c>
      <c r="F8" s="145">
        <f>SUM(F9:F16)</f>
        <v>11744.403200000001</v>
      </c>
      <c r="G8" s="145">
        <f>SUM(G9:G16)</f>
        <v>11744.403200000001</v>
      </c>
      <c r="H8" s="146">
        <f>F8-G8</f>
        <v>0</v>
      </c>
      <c r="I8" s="146">
        <f>F8/G8*100-100</f>
        <v>0</v>
      </c>
      <c r="J8" s="145">
        <f>SUM(J9:J16)</f>
        <v>11558.85147</v>
      </c>
      <c r="K8" s="145">
        <f>SUM(K9:K16)</f>
        <v>11558.8894</v>
      </c>
      <c r="L8" s="146">
        <f>J8-K8</f>
        <v>-3.7930000000415021E-2</v>
      </c>
      <c r="M8" s="146">
        <f>J8/K8*100-100</f>
        <v>-3.2814571268602322E-4</v>
      </c>
      <c r="N8" s="145">
        <f>SUM(N9:N16)</f>
        <v>11975.6397</v>
      </c>
      <c r="O8" s="145">
        <f>SUM(O9:O16)</f>
        <v>11975.6397</v>
      </c>
      <c r="P8" s="147">
        <f>N8-O8</f>
        <v>0</v>
      </c>
      <c r="Q8" s="148">
        <f>N8/O8*100-100</f>
        <v>0</v>
      </c>
      <c r="R8" s="149">
        <f>K8+135.8766</f>
        <v>11694.766</v>
      </c>
      <c r="S8" s="150">
        <f>O8+132.9944</f>
        <v>12108.634099999999</v>
      </c>
    </row>
    <row r="9" spans="1:27" ht="41.4" x14ac:dyDescent="0.25">
      <c r="A9" s="151" t="s">
        <v>169</v>
      </c>
      <c r="B9" s="152" t="s">
        <v>170</v>
      </c>
      <c r="C9" s="153">
        <v>78.189400000000006</v>
      </c>
      <c r="D9" s="153">
        <v>76.744</v>
      </c>
      <c r="E9" s="153">
        <v>149.7723</v>
      </c>
      <c r="F9" s="154">
        <v>61.359900000000003</v>
      </c>
      <c r="G9" s="155">
        <v>61.359900000000003</v>
      </c>
      <c r="H9" s="156">
        <f>F9-G9</f>
        <v>0</v>
      </c>
      <c r="I9" s="156">
        <f>F9/G9*100-100</f>
        <v>0</v>
      </c>
      <c r="J9" s="155">
        <v>57.427100000000003</v>
      </c>
      <c r="K9" s="155">
        <v>57.427100000000003</v>
      </c>
      <c r="L9" s="156">
        <f t="shared" ref="L9:L73" si="0">J9-K9</f>
        <v>0</v>
      </c>
      <c r="M9" s="156">
        <f t="shared" ref="M9:M73" si="1">J9/K9*100-100</f>
        <v>0</v>
      </c>
      <c r="N9" s="155">
        <v>71.222399999999993</v>
      </c>
      <c r="O9" s="155">
        <v>71.222399999999993</v>
      </c>
      <c r="P9" s="157">
        <f t="shared" ref="P9:P73" si="2">N9-O9</f>
        <v>0</v>
      </c>
      <c r="Q9" s="158">
        <f t="shared" ref="Q9:Q73" si="3">N9/O9*100-100</f>
        <v>0</v>
      </c>
      <c r="R9" s="140"/>
      <c r="S9" s="141"/>
    </row>
    <row r="10" spans="1:27" ht="82.8" x14ac:dyDescent="0.25">
      <c r="A10" s="151" t="s">
        <v>171</v>
      </c>
      <c r="B10" s="152" t="s">
        <v>172</v>
      </c>
      <c r="C10" s="153">
        <v>2926.8344999999999</v>
      </c>
      <c r="D10" s="153">
        <v>2484.1666</v>
      </c>
      <c r="E10" s="153">
        <v>2296.3462</v>
      </c>
      <c r="F10" s="154">
        <v>2114.5173</v>
      </c>
      <c r="G10" s="155">
        <v>2114.5173</v>
      </c>
      <c r="H10" s="156">
        <f t="shared" ref="H10:H73" si="4">F10-G10</f>
        <v>0</v>
      </c>
      <c r="I10" s="156">
        <f t="shared" ref="I10:I73" si="5">F10/G10*100-100</f>
        <v>0</v>
      </c>
      <c r="J10" s="155">
        <v>1975.9373000000001</v>
      </c>
      <c r="K10" s="155">
        <v>1975.9373000000001</v>
      </c>
      <c r="L10" s="156">
        <f t="shared" si="0"/>
        <v>0</v>
      </c>
      <c r="M10" s="156">
        <f t="shared" si="1"/>
        <v>0</v>
      </c>
      <c r="N10" s="155">
        <v>2321.6786999999999</v>
      </c>
      <c r="O10" s="155">
        <v>2321.6786999999999</v>
      </c>
      <c r="P10" s="157">
        <f t="shared" si="2"/>
        <v>0</v>
      </c>
      <c r="Q10" s="158">
        <f t="shared" si="3"/>
        <v>0</v>
      </c>
      <c r="R10" s="140"/>
      <c r="S10" s="141"/>
    </row>
    <row r="11" spans="1:27" ht="27.6" x14ac:dyDescent="0.25">
      <c r="A11" s="151" t="s">
        <v>173</v>
      </c>
      <c r="B11" s="152" t="s">
        <v>174</v>
      </c>
      <c r="C11" s="153">
        <v>403.3442</v>
      </c>
      <c r="D11" s="153">
        <v>353.97989999999999</v>
      </c>
      <c r="E11" s="153">
        <v>307.21449999999999</v>
      </c>
      <c r="F11" s="154">
        <v>281.56189999999998</v>
      </c>
      <c r="G11" s="155">
        <v>281.56189999999998</v>
      </c>
      <c r="H11" s="156">
        <f t="shared" si="4"/>
        <v>0</v>
      </c>
      <c r="I11" s="156">
        <f t="shared" si="5"/>
        <v>0</v>
      </c>
      <c r="J11" s="155">
        <v>281.56189999999998</v>
      </c>
      <c r="K11" s="155">
        <v>281.56909999999999</v>
      </c>
      <c r="L11" s="156">
        <f t="shared" si="0"/>
        <v>-7.2000000000116415E-3</v>
      </c>
      <c r="M11" s="156">
        <f t="shared" si="1"/>
        <v>-2.5570987725558325E-3</v>
      </c>
      <c r="N11" s="155">
        <v>281.56189999999998</v>
      </c>
      <c r="O11" s="155">
        <v>281.56189999999998</v>
      </c>
      <c r="P11" s="157">
        <f t="shared" si="2"/>
        <v>0</v>
      </c>
      <c r="Q11" s="158">
        <f t="shared" si="3"/>
        <v>0</v>
      </c>
      <c r="R11" s="140"/>
      <c r="S11" s="141"/>
    </row>
    <row r="12" spans="1:27" ht="41.4" x14ac:dyDescent="0.25">
      <c r="A12" s="151" t="s">
        <v>175</v>
      </c>
      <c r="B12" s="152" t="s">
        <v>176</v>
      </c>
      <c r="C12" s="153">
        <v>165.13</v>
      </c>
      <c r="D12" s="153">
        <v>167.17869999999999</v>
      </c>
      <c r="E12" s="153">
        <v>148.22890000000001</v>
      </c>
      <c r="F12" s="154">
        <v>143.37870000000001</v>
      </c>
      <c r="G12" s="155">
        <v>143.37870000000001</v>
      </c>
      <c r="H12" s="156">
        <f t="shared" si="4"/>
        <v>0</v>
      </c>
      <c r="I12" s="156">
        <f t="shared" si="5"/>
        <v>0</v>
      </c>
      <c r="J12" s="155">
        <v>143.34787</v>
      </c>
      <c r="K12" s="155">
        <v>143.37870000000001</v>
      </c>
      <c r="L12" s="156">
        <f t="shared" si="0"/>
        <v>-3.0830000000008795E-2</v>
      </c>
      <c r="M12" s="156">
        <f t="shared" si="1"/>
        <v>-2.1502496535404703E-2</v>
      </c>
      <c r="N12" s="155">
        <v>143.37870000000001</v>
      </c>
      <c r="O12" s="155">
        <v>143.37870000000001</v>
      </c>
      <c r="P12" s="157">
        <f t="shared" si="2"/>
        <v>0</v>
      </c>
      <c r="Q12" s="158">
        <f t="shared" si="3"/>
        <v>0</v>
      </c>
      <c r="R12" s="140"/>
      <c r="S12" s="141"/>
    </row>
    <row r="13" spans="1:27" ht="27.6" x14ac:dyDescent="0.25">
      <c r="A13" s="151" t="s">
        <v>177</v>
      </c>
      <c r="B13" s="152" t="s">
        <v>178</v>
      </c>
      <c r="C13" s="153">
        <v>173.36799999999999</v>
      </c>
      <c r="D13" s="153">
        <v>284.59719999999999</v>
      </c>
      <c r="E13" s="153">
        <v>290.03460000000001</v>
      </c>
      <c r="F13" s="154">
        <v>251.0292</v>
      </c>
      <c r="G13" s="155">
        <v>251.0292</v>
      </c>
      <c r="H13" s="156">
        <f t="shared" si="4"/>
        <v>0</v>
      </c>
      <c r="I13" s="156">
        <f t="shared" si="5"/>
        <v>0</v>
      </c>
      <c r="J13" s="155">
        <v>231.5532</v>
      </c>
      <c r="K13" s="155">
        <v>231.5532</v>
      </c>
      <c r="L13" s="156">
        <f t="shared" si="0"/>
        <v>0</v>
      </c>
      <c r="M13" s="156">
        <f t="shared" si="1"/>
        <v>0</v>
      </c>
      <c r="N13" s="155">
        <v>288.774</v>
      </c>
      <c r="O13" s="155">
        <v>288.774</v>
      </c>
      <c r="P13" s="157">
        <f t="shared" si="2"/>
        <v>0</v>
      </c>
      <c r="Q13" s="158">
        <f t="shared" si="3"/>
        <v>0</v>
      </c>
      <c r="R13" s="140"/>
      <c r="S13" s="141"/>
    </row>
    <row r="14" spans="1:27" ht="27.6" x14ac:dyDescent="0.25">
      <c r="A14" s="151" t="s">
        <v>179</v>
      </c>
      <c r="B14" s="152" t="s">
        <v>180</v>
      </c>
      <c r="C14" s="153">
        <v>162.09030000000001</v>
      </c>
      <c r="D14" s="153">
        <v>158.54329999999999</v>
      </c>
      <c r="E14" s="153">
        <v>157.42750000000001</v>
      </c>
      <c r="F14" s="154">
        <v>165.5077</v>
      </c>
      <c r="G14" s="155">
        <v>165.5077</v>
      </c>
      <c r="H14" s="156">
        <f t="shared" si="4"/>
        <v>0</v>
      </c>
      <c r="I14" s="156">
        <f t="shared" si="5"/>
        <v>0</v>
      </c>
      <c r="J14" s="155">
        <v>143.97559999999999</v>
      </c>
      <c r="K14" s="155">
        <v>143.97550000000001</v>
      </c>
      <c r="L14" s="156">
        <f t="shared" si="0"/>
        <v>9.9999999974897946E-5</v>
      </c>
      <c r="M14" s="156">
        <f t="shared" si="1"/>
        <v>6.945626162746521E-5</v>
      </c>
      <c r="N14" s="155">
        <v>143.97550000000001</v>
      </c>
      <c r="O14" s="155">
        <v>143.97550000000001</v>
      </c>
      <c r="P14" s="157">
        <f t="shared" si="2"/>
        <v>0</v>
      </c>
      <c r="Q14" s="158">
        <f t="shared" si="3"/>
        <v>0</v>
      </c>
      <c r="R14" s="140"/>
      <c r="S14" s="141"/>
    </row>
    <row r="15" spans="1:27" ht="41.4" x14ac:dyDescent="0.25">
      <c r="A15" s="151" t="s">
        <v>181</v>
      </c>
      <c r="B15" s="152" t="s">
        <v>182</v>
      </c>
      <c r="C15" s="153">
        <v>1134.2507000000001</v>
      </c>
      <c r="D15" s="153">
        <v>1177.6686</v>
      </c>
      <c r="E15" s="153">
        <v>715.76390000000004</v>
      </c>
      <c r="F15" s="154">
        <v>558.90060000000005</v>
      </c>
      <c r="G15" s="155">
        <v>558.90060000000005</v>
      </c>
      <c r="H15" s="156">
        <f t="shared" si="4"/>
        <v>0</v>
      </c>
      <c r="I15" s="156">
        <f t="shared" si="5"/>
        <v>0</v>
      </c>
      <c r="J15" s="155">
        <v>556.90060000000005</v>
      </c>
      <c r="K15" s="155">
        <v>556.90060000000005</v>
      </c>
      <c r="L15" s="156">
        <f t="shared" si="0"/>
        <v>0</v>
      </c>
      <c r="M15" s="156">
        <f t="shared" si="1"/>
        <v>0</v>
      </c>
      <c r="N15" s="155">
        <v>556.90060000000005</v>
      </c>
      <c r="O15" s="155">
        <v>556.90060000000005</v>
      </c>
      <c r="P15" s="157">
        <f t="shared" si="2"/>
        <v>0</v>
      </c>
      <c r="Q15" s="158">
        <f t="shared" si="3"/>
        <v>0</v>
      </c>
      <c r="R15" s="140"/>
      <c r="S15" s="141"/>
    </row>
    <row r="16" spans="1:27" ht="41.4" x14ac:dyDescent="0.25">
      <c r="A16" s="159" t="s">
        <v>183</v>
      </c>
      <c r="B16" s="160" t="s">
        <v>184</v>
      </c>
      <c r="C16" s="161">
        <v>7090.8128999999999</v>
      </c>
      <c r="D16" s="161">
        <v>8428.8125</v>
      </c>
      <c r="E16" s="161">
        <v>8079.1080000000002</v>
      </c>
      <c r="F16" s="162">
        <v>8168.1478999999999</v>
      </c>
      <c r="G16" s="163">
        <v>8168.1478999999999</v>
      </c>
      <c r="H16" s="164">
        <f t="shared" si="4"/>
        <v>0</v>
      </c>
      <c r="I16" s="164">
        <f t="shared" si="5"/>
        <v>0</v>
      </c>
      <c r="J16" s="163">
        <v>8168.1478999999999</v>
      </c>
      <c r="K16" s="163">
        <v>8168.1478999999999</v>
      </c>
      <c r="L16" s="164">
        <f t="shared" si="0"/>
        <v>0</v>
      </c>
      <c r="M16" s="164">
        <f t="shared" si="1"/>
        <v>0</v>
      </c>
      <c r="N16" s="163">
        <v>8168.1478999999999</v>
      </c>
      <c r="O16" s="163">
        <v>8168.1478999999999</v>
      </c>
      <c r="P16" s="165">
        <f t="shared" si="2"/>
        <v>0</v>
      </c>
      <c r="Q16" s="166">
        <f t="shared" si="3"/>
        <v>0</v>
      </c>
      <c r="R16" s="140"/>
      <c r="S16" s="141"/>
    </row>
    <row r="17" spans="1:19" ht="41.4" x14ac:dyDescent="0.25">
      <c r="A17" s="142" t="s">
        <v>185</v>
      </c>
      <c r="B17" s="143" t="s">
        <v>186</v>
      </c>
      <c r="C17" s="144">
        <f>C18+C19+C20+C21+C22+C23+C24</f>
        <v>19701.5625</v>
      </c>
      <c r="D17" s="144">
        <f t="shared" ref="D17:G17" si="6">D18+D19+D20+D21+D22+D23+D24</f>
        <v>18301.683199999999</v>
      </c>
      <c r="E17" s="144">
        <f t="shared" si="6"/>
        <v>17963.414000000001</v>
      </c>
      <c r="F17" s="145">
        <f t="shared" si="6"/>
        <v>17388.792300000005</v>
      </c>
      <c r="G17" s="145">
        <f t="shared" si="6"/>
        <v>17388.792300000005</v>
      </c>
      <c r="H17" s="146">
        <f t="shared" si="4"/>
        <v>0</v>
      </c>
      <c r="I17" s="146">
        <f t="shared" si="5"/>
        <v>0</v>
      </c>
      <c r="J17" s="145">
        <f t="shared" ref="J17:K17" si="7">J18+J19+J20+J21+J22+J23+J24</f>
        <v>18148.647400000002</v>
      </c>
      <c r="K17" s="145">
        <f t="shared" si="7"/>
        <v>25937.814799999996</v>
      </c>
      <c r="L17" s="146">
        <f t="shared" si="0"/>
        <v>-7789.1673999999948</v>
      </c>
      <c r="M17" s="146">
        <f t="shared" si="1"/>
        <v>-30.030160443585231</v>
      </c>
      <c r="N17" s="145">
        <f>N18+N19+N20+N21+N22+N23+N24</f>
        <v>18243.511400000003</v>
      </c>
      <c r="O17" s="145">
        <f t="shared" ref="O17" si="8">O18+O19+O20+O21+O22+O23+O24</f>
        <v>23094.716199999995</v>
      </c>
      <c r="P17" s="147">
        <f t="shared" si="2"/>
        <v>-4851.2047999999922</v>
      </c>
      <c r="Q17" s="148">
        <f t="shared" si="3"/>
        <v>-21.005691336445139</v>
      </c>
      <c r="R17" s="149">
        <f>K17</f>
        <v>25937.814799999996</v>
      </c>
      <c r="S17" s="150">
        <f>O17</f>
        <v>23094.716199999995</v>
      </c>
    </row>
    <row r="18" spans="1:19" ht="27.6" x14ac:dyDescent="0.25">
      <c r="A18" s="151" t="s">
        <v>187</v>
      </c>
      <c r="B18" s="152" t="s">
        <v>188</v>
      </c>
      <c r="C18" s="153">
        <v>13317.657300000001</v>
      </c>
      <c r="D18" s="153">
        <v>12147.120500000001</v>
      </c>
      <c r="E18" s="153">
        <v>12622.366599999999</v>
      </c>
      <c r="F18" s="154">
        <v>12625.1072</v>
      </c>
      <c r="G18" s="155">
        <v>12625.1072</v>
      </c>
      <c r="H18" s="156">
        <f t="shared" si="4"/>
        <v>0</v>
      </c>
      <c r="I18" s="156">
        <f t="shared" si="5"/>
        <v>0</v>
      </c>
      <c r="J18" s="155">
        <v>12914.8338</v>
      </c>
      <c r="K18" s="155">
        <v>16863.827300000001</v>
      </c>
      <c r="L18" s="156">
        <f t="shared" si="0"/>
        <v>-3948.9935000000005</v>
      </c>
      <c r="M18" s="156">
        <f t="shared" si="1"/>
        <v>-23.41694699399585</v>
      </c>
      <c r="N18" s="155">
        <v>12967.7204</v>
      </c>
      <c r="O18" s="155">
        <v>16867.827300000001</v>
      </c>
      <c r="P18" s="157">
        <f t="shared" si="2"/>
        <v>-3900.1069000000007</v>
      </c>
      <c r="Q18" s="158">
        <f t="shared" si="3"/>
        <v>-23.121572391246858</v>
      </c>
      <c r="R18" s="140"/>
      <c r="S18" s="141"/>
    </row>
    <row r="19" spans="1:19" ht="82.8" x14ac:dyDescent="0.25">
      <c r="A19" s="151" t="s">
        <v>189</v>
      </c>
      <c r="B19" s="152" t="s">
        <v>190</v>
      </c>
      <c r="C19" s="153">
        <v>2378.8467999999998</v>
      </c>
      <c r="D19" s="153">
        <v>2374.8218999999999</v>
      </c>
      <c r="E19" s="153">
        <v>2337.7736</v>
      </c>
      <c r="F19" s="154">
        <v>2074.4567000000002</v>
      </c>
      <c r="G19" s="155">
        <v>2074.4567000000002</v>
      </c>
      <c r="H19" s="156">
        <f t="shared" si="4"/>
        <v>0</v>
      </c>
      <c r="I19" s="156">
        <f t="shared" si="5"/>
        <v>0</v>
      </c>
      <c r="J19" s="155">
        <v>2128.8721</v>
      </c>
      <c r="K19" s="155">
        <v>2719.1181000000001</v>
      </c>
      <c r="L19" s="156">
        <f t="shared" si="0"/>
        <v>-590.24600000000009</v>
      </c>
      <c r="M19" s="156">
        <f t="shared" si="1"/>
        <v>-21.707258688028304</v>
      </c>
      <c r="N19" s="155">
        <v>2164.9436000000001</v>
      </c>
      <c r="O19" s="155">
        <v>2719.1181000000001</v>
      </c>
      <c r="P19" s="157">
        <f t="shared" si="2"/>
        <v>-554.17450000000008</v>
      </c>
      <c r="Q19" s="158">
        <f t="shared" si="3"/>
        <v>-20.380670482830439</v>
      </c>
      <c r="R19" s="140"/>
      <c r="S19" s="141"/>
    </row>
    <row r="20" spans="1:19" ht="27.6" x14ac:dyDescent="0.25">
      <c r="A20" s="151" t="s">
        <v>191</v>
      </c>
      <c r="B20" s="152" t="s">
        <v>192</v>
      </c>
      <c r="C20" s="153">
        <v>2312.2417</v>
      </c>
      <c r="D20" s="153">
        <v>2036.1384</v>
      </c>
      <c r="E20" s="153">
        <v>2057.5156000000002</v>
      </c>
      <c r="F20" s="154">
        <v>1930.7366</v>
      </c>
      <c r="G20" s="155">
        <v>1930.7366</v>
      </c>
      <c r="H20" s="156">
        <f t="shared" si="4"/>
        <v>0</v>
      </c>
      <c r="I20" s="156">
        <f t="shared" si="5"/>
        <v>0</v>
      </c>
      <c r="J20" s="155">
        <v>2130.9681</v>
      </c>
      <c r="K20" s="155">
        <v>2688.4117999999999</v>
      </c>
      <c r="L20" s="156">
        <f t="shared" si="0"/>
        <v>-557.44369999999981</v>
      </c>
      <c r="M20" s="156">
        <f t="shared" si="1"/>
        <v>-20.735056288623639</v>
      </c>
      <c r="N20" s="155">
        <v>2144.9461000000001</v>
      </c>
      <c r="O20" s="155">
        <v>2680.1118000000001</v>
      </c>
      <c r="P20" s="157">
        <f t="shared" si="2"/>
        <v>-535.16570000000002</v>
      </c>
      <c r="Q20" s="158">
        <f t="shared" si="3"/>
        <v>-19.968036408033427</v>
      </c>
      <c r="R20" s="140"/>
      <c r="S20" s="141"/>
    </row>
    <row r="21" spans="1:19" ht="27.6" x14ac:dyDescent="0.25">
      <c r="A21" s="151" t="s">
        <v>193</v>
      </c>
      <c r="B21" s="152" t="s">
        <v>194</v>
      </c>
      <c r="C21" s="153">
        <v>510.0838</v>
      </c>
      <c r="D21" s="153">
        <v>573.77499999999998</v>
      </c>
      <c r="E21" s="153">
        <v>582.74940000000004</v>
      </c>
      <c r="F21" s="154">
        <v>587.86959999999999</v>
      </c>
      <c r="G21" s="155">
        <v>587.86959999999999</v>
      </c>
      <c r="H21" s="156">
        <f t="shared" si="4"/>
        <v>0</v>
      </c>
      <c r="I21" s="156">
        <f t="shared" si="5"/>
        <v>0</v>
      </c>
      <c r="J21" s="155">
        <v>598.40589999999997</v>
      </c>
      <c r="K21" s="155">
        <v>550.96619999999996</v>
      </c>
      <c r="L21" s="156">
        <f t="shared" si="0"/>
        <v>47.439700000000016</v>
      </c>
      <c r="M21" s="156">
        <f t="shared" si="1"/>
        <v>8.6102740966687179</v>
      </c>
      <c r="N21" s="155">
        <v>598.5086</v>
      </c>
      <c r="O21" s="155">
        <v>550.96619999999996</v>
      </c>
      <c r="P21" s="157">
        <f t="shared" si="2"/>
        <v>47.542400000000043</v>
      </c>
      <c r="Q21" s="158">
        <f t="shared" si="3"/>
        <v>8.6289140785768836</v>
      </c>
      <c r="R21" s="140"/>
      <c r="S21" s="141"/>
    </row>
    <row r="22" spans="1:19" ht="27.6" x14ac:dyDescent="0.25">
      <c r="A22" s="151" t="s">
        <v>195</v>
      </c>
      <c r="B22" s="152" t="s">
        <v>196</v>
      </c>
      <c r="C22" s="153">
        <v>6.67</v>
      </c>
      <c r="D22" s="153">
        <v>8.17</v>
      </c>
      <c r="E22" s="153">
        <v>8.17</v>
      </c>
      <c r="F22" s="154">
        <v>8.59</v>
      </c>
      <c r="G22" s="155">
        <v>8.59</v>
      </c>
      <c r="H22" s="156">
        <f t="shared" si="4"/>
        <v>0</v>
      </c>
      <c r="I22" s="156">
        <f t="shared" si="5"/>
        <v>0</v>
      </c>
      <c r="J22" s="155">
        <v>8.59</v>
      </c>
      <c r="K22" s="155">
        <v>22.17</v>
      </c>
      <c r="L22" s="156">
        <f t="shared" si="0"/>
        <v>-13.580000000000002</v>
      </c>
      <c r="M22" s="156">
        <f t="shared" si="1"/>
        <v>-61.253946774921069</v>
      </c>
      <c r="N22" s="155">
        <v>8.59</v>
      </c>
      <c r="O22" s="155">
        <v>22.17</v>
      </c>
      <c r="P22" s="157">
        <f t="shared" si="2"/>
        <v>-13.580000000000002</v>
      </c>
      <c r="Q22" s="158">
        <f t="shared" si="3"/>
        <v>-61.253946774921069</v>
      </c>
      <c r="R22" s="140"/>
      <c r="S22" s="141"/>
    </row>
    <row r="23" spans="1:19" ht="41.4" x14ac:dyDescent="0.25">
      <c r="A23" s="151" t="s">
        <v>197</v>
      </c>
      <c r="B23" s="152" t="s">
        <v>198</v>
      </c>
      <c r="C23" s="153">
        <v>3.9748000000000001</v>
      </c>
      <c r="D23" s="153">
        <v>6.0342000000000002</v>
      </c>
      <c r="E23" s="153">
        <v>5.5936000000000003</v>
      </c>
      <c r="F23" s="154">
        <v>5.0321999999999996</v>
      </c>
      <c r="G23" s="155">
        <v>5.0321999999999996</v>
      </c>
      <c r="H23" s="156">
        <f t="shared" si="4"/>
        <v>0</v>
      </c>
      <c r="I23" s="156">
        <f t="shared" si="5"/>
        <v>0</v>
      </c>
      <c r="J23" s="155">
        <v>5.6124999999999998</v>
      </c>
      <c r="K23" s="155">
        <v>69.255499999999998</v>
      </c>
      <c r="L23" s="156">
        <f t="shared" si="0"/>
        <v>-63.643000000000001</v>
      </c>
      <c r="M23" s="156">
        <f t="shared" si="1"/>
        <v>-91.895950502126183</v>
      </c>
      <c r="N23" s="155">
        <v>5.6124999999999998</v>
      </c>
      <c r="O23" s="155">
        <v>13.955500000000001</v>
      </c>
      <c r="P23" s="157">
        <f t="shared" si="2"/>
        <v>-8.343</v>
      </c>
      <c r="Q23" s="158">
        <f t="shared" si="3"/>
        <v>-59.782881301279069</v>
      </c>
      <c r="R23" s="140"/>
      <c r="S23" s="141"/>
    </row>
    <row r="24" spans="1:19" ht="41.4" x14ac:dyDescent="0.25">
      <c r="A24" s="159" t="s">
        <v>199</v>
      </c>
      <c r="B24" s="160" t="s">
        <v>200</v>
      </c>
      <c r="C24" s="161">
        <v>1172.0880999999999</v>
      </c>
      <c r="D24" s="161">
        <v>1155.6232</v>
      </c>
      <c r="E24" s="161">
        <v>349.24520000000001</v>
      </c>
      <c r="F24" s="162">
        <v>157</v>
      </c>
      <c r="G24" s="163">
        <v>157</v>
      </c>
      <c r="H24" s="164">
        <f t="shared" si="4"/>
        <v>0</v>
      </c>
      <c r="I24" s="164">
        <f t="shared" si="5"/>
        <v>0</v>
      </c>
      <c r="J24" s="163">
        <v>361.36500000000001</v>
      </c>
      <c r="K24" s="163">
        <v>3024.0659000000001</v>
      </c>
      <c r="L24" s="164">
        <f t="shared" si="0"/>
        <v>-2662.7008999999998</v>
      </c>
      <c r="M24" s="164">
        <f t="shared" si="1"/>
        <v>-88.050359616832424</v>
      </c>
      <c r="N24" s="163">
        <v>353.1902</v>
      </c>
      <c r="O24" s="163">
        <v>240.56729999999999</v>
      </c>
      <c r="P24" s="165">
        <f t="shared" si="2"/>
        <v>112.62290000000002</v>
      </c>
      <c r="Q24" s="166">
        <f t="shared" si="3"/>
        <v>46.815548081555562</v>
      </c>
      <c r="R24" s="140"/>
      <c r="S24" s="141"/>
    </row>
    <row r="25" spans="1:19" ht="41.4" x14ac:dyDescent="0.25">
      <c r="A25" s="142" t="s">
        <v>201</v>
      </c>
      <c r="B25" s="143" t="s">
        <v>202</v>
      </c>
      <c r="C25" s="144">
        <f>SUM(C26:C33)</f>
        <v>9404.4369999999999</v>
      </c>
      <c r="D25" s="144">
        <f>SUM(D26:D33)</f>
        <v>10007.154599999998</v>
      </c>
      <c r="E25" s="144">
        <f>SUM(E26:E33)</f>
        <v>10664.426600000001</v>
      </c>
      <c r="F25" s="145">
        <f>SUM(F26:F33)</f>
        <v>8128.8254999999999</v>
      </c>
      <c r="G25" s="145">
        <f>SUM(G26:G33)</f>
        <v>8128.8251</v>
      </c>
      <c r="H25" s="146">
        <f t="shared" si="4"/>
        <v>3.9999999989959178E-4</v>
      </c>
      <c r="I25" s="146">
        <f t="shared" si="5"/>
        <v>4.9207603041168113E-6</v>
      </c>
      <c r="J25" s="145">
        <f>SUM(J26:J33)</f>
        <v>8385.551300000001</v>
      </c>
      <c r="K25" s="145">
        <f>SUM(K26:K33)</f>
        <v>8385.4508000000005</v>
      </c>
      <c r="L25" s="146">
        <f t="shared" si="0"/>
        <v>0.10050000000046566</v>
      </c>
      <c r="M25" s="146">
        <f t="shared" si="1"/>
        <v>1.1985044381788157E-3</v>
      </c>
      <c r="N25" s="145">
        <f>SUM(N26:N33)</f>
        <v>8678.7757999999994</v>
      </c>
      <c r="O25" s="145">
        <f>SUM(O26:O33)</f>
        <v>8678.8824000000004</v>
      </c>
      <c r="P25" s="147">
        <f t="shared" si="2"/>
        <v>-0.1066000000009808</v>
      </c>
      <c r="Q25" s="148">
        <f t="shared" si="3"/>
        <v>-1.2282687457627617E-3</v>
      </c>
      <c r="R25" s="149">
        <f>K25+2845.4224</f>
        <v>11230.8732</v>
      </c>
      <c r="S25" s="150">
        <f>O25+2910.1286</f>
        <v>11589.011</v>
      </c>
    </row>
    <row r="26" spans="1:19" ht="55.2" x14ac:dyDescent="0.25">
      <c r="A26" s="151" t="s">
        <v>203</v>
      </c>
      <c r="B26" s="152" t="s">
        <v>204</v>
      </c>
      <c r="C26" s="153">
        <v>1884.9609</v>
      </c>
      <c r="D26" s="153">
        <v>2011.0809999999999</v>
      </c>
      <c r="E26" s="153">
        <v>2054.7786999999998</v>
      </c>
      <c r="F26" s="154">
        <v>1931.0989999999999</v>
      </c>
      <c r="G26" s="155">
        <v>1931.0989999999999</v>
      </c>
      <c r="H26" s="156">
        <f t="shared" si="4"/>
        <v>0</v>
      </c>
      <c r="I26" s="156">
        <f t="shared" si="5"/>
        <v>0</v>
      </c>
      <c r="J26" s="155">
        <v>2047.07</v>
      </c>
      <c r="K26" s="155">
        <v>2046.9690000000001</v>
      </c>
      <c r="L26" s="156">
        <f t="shared" si="0"/>
        <v>0.1009999999998854</v>
      </c>
      <c r="M26" s="156">
        <f t="shared" si="1"/>
        <v>4.9341245519656241E-3</v>
      </c>
      <c r="N26" s="155">
        <v>2151.9405999999999</v>
      </c>
      <c r="O26" s="155">
        <v>2151.9407999999999</v>
      </c>
      <c r="P26" s="157">
        <f t="shared" si="2"/>
        <v>-1.9999999994979589E-4</v>
      </c>
      <c r="Q26" s="158">
        <f t="shared" si="3"/>
        <v>-9.2939359603860794E-6</v>
      </c>
      <c r="R26" s="140"/>
      <c r="S26" s="141"/>
    </row>
    <row r="27" spans="1:19" ht="41.4" x14ac:dyDescent="0.25">
      <c r="A27" s="151" t="s">
        <v>205</v>
      </c>
      <c r="B27" s="152" t="s">
        <v>206</v>
      </c>
      <c r="C27" s="153">
        <v>6985.6037999999999</v>
      </c>
      <c r="D27" s="153">
        <v>7480.1821</v>
      </c>
      <c r="E27" s="153">
        <v>8175.0622999999996</v>
      </c>
      <c r="F27" s="154">
        <v>5783.8258999999998</v>
      </c>
      <c r="G27" s="155">
        <v>5783.8257999999996</v>
      </c>
      <c r="H27" s="156">
        <f t="shared" si="4"/>
        <v>1.0000000020227162E-4</v>
      </c>
      <c r="I27" s="156">
        <f t="shared" si="5"/>
        <v>1.7289594040903467E-6</v>
      </c>
      <c r="J27" s="155">
        <v>5899.4951000000001</v>
      </c>
      <c r="K27" s="155">
        <v>5899.4956000000002</v>
      </c>
      <c r="L27" s="156">
        <f t="shared" si="0"/>
        <v>-5.0000000010186341E-4</v>
      </c>
      <c r="M27" s="156">
        <f t="shared" si="1"/>
        <v>-8.4753008451343703E-6</v>
      </c>
      <c r="N27" s="155">
        <v>6081.9436999999998</v>
      </c>
      <c r="O27" s="155">
        <v>6081.9438</v>
      </c>
      <c r="P27" s="157">
        <f t="shared" si="2"/>
        <v>-1.0000000020227162E-4</v>
      </c>
      <c r="Q27" s="158">
        <f t="shared" si="3"/>
        <v>-1.6442111956394001E-6</v>
      </c>
      <c r="R27" s="140"/>
      <c r="S27" s="141"/>
    </row>
    <row r="28" spans="1:19" ht="27.6" x14ac:dyDescent="0.25">
      <c r="A28" s="151" t="s">
        <v>207</v>
      </c>
      <c r="B28" s="152" t="s">
        <v>208</v>
      </c>
      <c r="C28" s="153">
        <v>478.91399999999999</v>
      </c>
      <c r="D28" s="153">
        <v>392.93</v>
      </c>
      <c r="E28" s="153">
        <v>345.01569999999998</v>
      </c>
      <c r="F28" s="154">
        <v>344.86189999999999</v>
      </c>
      <c r="G28" s="155">
        <v>344.86160000000001</v>
      </c>
      <c r="H28" s="156">
        <f t="shared" si="4"/>
        <v>2.9999999998153726E-4</v>
      </c>
      <c r="I28" s="156">
        <f t="shared" si="5"/>
        <v>8.6991419152582239E-5</v>
      </c>
      <c r="J28" s="155">
        <v>345.46159999999998</v>
      </c>
      <c r="K28" s="155">
        <v>345.46159999999998</v>
      </c>
      <c r="L28" s="156">
        <f t="shared" si="0"/>
        <v>0</v>
      </c>
      <c r="M28" s="156">
        <f t="shared" si="1"/>
        <v>0</v>
      </c>
      <c r="N28" s="155">
        <v>345.46159999999998</v>
      </c>
      <c r="O28" s="155">
        <v>345.46159999999998</v>
      </c>
      <c r="P28" s="157">
        <f t="shared" si="2"/>
        <v>0</v>
      </c>
      <c r="Q28" s="158">
        <f t="shared" si="3"/>
        <v>0</v>
      </c>
      <c r="R28" s="140"/>
      <c r="S28" s="141"/>
    </row>
    <row r="29" spans="1:19" ht="27.6" x14ac:dyDescent="0.25">
      <c r="A29" s="151" t="s">
        <v>209</v>
      </c>
      <c r="B29" s="152" t="s">
        <v>210</v>
      </c>
      <c r="C29" s="153">
        <v>11.327</v>
      </c>
      <c r="D29" s="153">
        <v>4.149</v>
      </c>
      <c r="E29" s="153">
        <v>22.466200000000001</v>
      </c>
      <c r="F29" s="154">
        <v>18.632000000000001</v>
      </c>
      <c r="G29" s="155">
        <v>18.632000000000001</v>
      </c>
      <c r="H29" s="156">
        <f t="shared" si="4"/>
        <v>0</v>
      </c>
      <c r="I29" s="156">
        <f t="shared" si="5"/>
        <v>0</v>
      </c>
      <c r="J29" s="155">
        <v>22.8033</v>
      </c>
      <c r="K29" s="155">
        <v>22.8033</v>
      </c>
      <c r="L29" s="156">
        <f t="shared" si="0"/>
        <v>0</v>
      </c>
      <c r="M29" s="156">
        <f t="shared" si="1"/>
        <v>0</v>
      </c>
      <c r="N29" s="155">
        <v>24.430399999999999</v>
      </c>
      <c r="O29" s="155">
        <v>24.430399999999999</v>
      </c>
      <c r="P29" s="157">
        <f t="shared" si="2"/>
        <v>0</v>
      </c>
      <c r="Q29" s="158">
        <f t="shared" si="3"/>
        <v>0</v>
      </c>
      <c r="R29" s="140"/>
      <c r="S29" s="141"/>
    </row>
    <row r="30" spans="1:19" ht="41.4" x14ac:dyDescent="0.25">
      <c r="A30" s="151" t="s">
        <v>211</v>
      </c>
      <c r="B30" s="152" t="s">
        <v>212</v>
      </c>
      <c r="C30" s="153">
        <v>19.700600000000001</v>
      </c>
      <c r="D30" s="153">
        <v>75.639499999999998</v>
      </c>
      <c r="E30" s="153">
        <v>36.256799999999998</v>
      </c>
      <c r="F30" s="154">
        <v>22.672799999999999</v>
      </c>
      <c r="G30" s="155">
        <v>22.672799999999999</v>
      </c>
      <c r="H30" s="156">
        <f t="shared" si="4"/>
        <v>0</v>
      </c>
      <c r="I30" s="156">
        <f t="shared" si="5"/>
        <v>0</v>
      </c>
      <c r="J30" s="155">
        <v>29.854099999999999</v>
      </c>
      <c r="K30" s="155">
        <v>29.854099999999999</v>
      </c>
      <c r="L30" s="156">
        <f t="shared" si="0"/>
        <v>0</v>
      </c>
      <c r="M30" s="156">
        <f t="shared" si="1"/>
        <v>0</v>
      </c>
      <c r="N30" s="155">
        <v>30.740200000000002</v>
      </c>
      <c r="O30" s="155">
        <v>30.740200000000002</v>
      </c>
      <c r="P30" s="157">
        <f t="shared" si="2"/>
        <v>0</v>
      </c>
      <c r="Q30" s="158">
        <f t="shared" si="3"/>
        <v>0</v>
      </c>
      <c r="R30" s="140"/>
      <c r="S30" s="141"/>
    </row>
    <row r="31" spans="1:19" ht="41.4" x14ac:dyDescent="0.25">
      <c r="A31" s="151" t="s">
        <v>213</v>
      </c>
      <c r="B31" s="152" t="s">
        <v>214</v>
      </c>
      <c r="C31" s="153">
        <v>1.9914000000000001</v>
      </c>
      <c r="D31" s="153">
        <v>2.6619000000000002</v>
      </c>
      <c r="E31" s="153">
        <v>2.2753999999999999</v>
      </c>
      <c r="F31" s="154">
        <v>0.75</v>
      </c>
      <c r="G31" s="155">
        <v>0.75</v>
      </c>
      <c r="H31" s="156">
        <f t="shared" si="4"/>
        <v>0</v>
      </c>
      <c r="I31" s="156">
        <f t="shared" si="5"/>
        <v>0</v>
      </c>
      <c r="J31" s="155">
        <v>3.1865999999999999</v>
      </c>
      <c r="K31" s="155">
        <v>3.1865999999999999</v>
      </c>
      <c r="L31" s="156">
        <f t="shared" si="0"/>
        <v>0</v>
      </c>
      <c r="M31" s="156">
        <f t="shared" si="1"/>
        <v>0</v>
      </c>
      <c r="N31" s="155">
        <v>3.1865999999999999</v>
      </c>
      <c r="O31" s="155">
        <v>3.1865999999999999</v>
      </c>
      <c r="P31" s="157">
        <f t="shared" si="2"/>
        <v>0</v>
      </c>
      <c r="Q31" s="158">
        <f t="shared" si="3"/>
        <v>0</v>
      </c>
      <c r="R31" s="140"/>
      <c r="S31" s="141"/>
    </row>
    <row r="32" spans="1:19" x14ac:dyDescent="0.25">
      <c r="A32" s="151" t="s">
        <v>215</v>
      </c>
      <c r="B32" s="152" t="s">
        <v>216</v>
      </c>
      <c r="C32" s="153">
        <v>21.939299999999999</v>
      </c>
      <c r="D32" s="153">
        <v>29.7151</v>
      </c>
      <c r="E32" s="153">
        <v>8.8667999999999996</v>
      </c>
      <c r="F32" s="154">
        <v>16.175000000000001</v>
      </c>
      <c r="G32" s="155">
        <v>16.175000000000001</v>
      </c>
      <c r="H32" s="156">
        <f t="shared" si="4"/>
        <v>0</v>
      </c>
      <c r="I32" s="156">
        <f t="shared" si="5"/>
        <v>0</v>
      </c>
      <c r="J32" s="155">
        <v>19.6798</v>
      </c>
      <c r="K32" s="155">
        <v>19.6798</v>
      </c>
      <c r="L32" s="156">
        <f t="shared" si="0"/>
        <v>0</v>
      </c>
      <c r="M32" s="156">
        <f t="shared" si="1"/>
        <v>0</v>
      </c>
      <c r="N32" s="155">
        <v>22.010899999999999</v>
      </c>
      <c r="O32" s="155">
        <v>22.010899999999999</v>
      </c>
      <c r="P32" s="157">
        <f t="shared" si="2"/>
        <v>0</v>
      </c>
      <c r="Q32" s="158">
        <f t="shared" si="3"/>
        <v>0</v>
      </c>
      <c r="R32" s="140"/>
      <c r="S32" s="141"/>
    </row>
    <row r="33" spans="1:19" x14ac:dyDescent="0.25">
      <c r="A33" s="159" t="s">
        <v>217</v>
      </c>
      <c r="B33" s="160" t="s">
        <v>218</v>
      </c>
      <c r="C33" s="161"/>
      <c r="D33" s="161">
        <v>10.795999999999999</v>
      </c>
      <c r="E33" s="161">
        <v>19.704699999999999</v>
      </c>
      <c r="F33" s="162">
        <v>10.8089</v>
      </c>
      <c r="G33" s="163">
        <v>10.8089</v>
      </c>
      <c r="H33" s="164">
        <f t="shared" si="4"/>
        <v>0</v>
      </c>
      <c r="I33" s="164">
        <f t="shared" si="5"/>
        <v>0</v>
      </c>
      <c r="J33" s="163">
        <v>18.000800000000002</v>
      </c>
      <c r="K33" s="163">
        <v>18.000800000000002</v>
      </c>
      <c r="L33" s="164">
        <f t="shared" si="0"/>
        <v>0</v>
      </c>
      <c r="M33" s="164">
        <f t="shared" si="1"/>
        <v>0</v>
      </c>
      <c r="N33" s="163">
        <v>19.061800000000002</v>
      </c>
      <c r="O33" s="163">
        <v>19.168099999999999</v>
      </c>
      <c r="P33" s="165">
        <f t="shared" si="2"/>
        <v>-0.1062999999999974</v>
      </c>
      <c r="Q33" s="166">
        <f t="shared" si="3"/>
        <v>-0.5545672236684851</v>
      </c>
      <c r="R33" s="140"/>
      <c r="S33" s="141"/>
    </row>
    <row r="34" spans="1:19" ht="41.4" x14ac:dyDescent="0.25">
      <c r="A34" s="167" t="s">
        <v>219</v>
      </c>
      <c r="B34" s="168" t="s">
        <v>220</v>
      </c>
      <c r="C34" s="169">
        <v>755.07169999999996</v>
      </c>
      <c r="D34" s="169">
        <v>837.22910000000002</v>
      </c>
      <c r="E34" s="169">
        <v>871.08789999999999</v>
      </c>
      <c r="F34" s="170">
        <v>837.4556</v>
      </c>
      <c r="G34" s="170">
        <v>837.4556</v>
      </c>
      <c r="H34" s="171">
        <f t="shared" si="4"/>
        <v>0</v>
      </c>
      <c r="I34" s="171">
        <f t="shared" si="5"/>
        <v>0</v>
      </c>
      <c r="J34" s="170">
        <v>752.6164</v>
      </c>
      <c r="K34" s="170">
        <v>1292.2190000000001</v>
      </c>
      <c r="L34" s="171">
        <f t="shared" si="0"/>
        <v>-539.60260000000005</v>
      </c>
      <c r="M34" s="171">
        <f t="shared" si="1"/>
        <v>-41.757828974809996</v>
      </c>
      <c r="N34" s="170">
        <v>793.8528</v>
      </c>
      <c r="O34" s="170">
        <v>1148.6494</v>
      </c>
      <c r="P34" s="172">
        <f t="shared" si="2"/>
        <v>-354.79660000000001</v>
      </c>
      <c r="Q34" s="173">
        <f t="shared" si="3"/>
        <v>-30.888154383748429</v>
      </c>
      <c r="R34" s="149">
        <f>K34+11.5951</f>
        <v>1303.8141000000001</v>
      </c>
      <c r="S34" s="150">
        <f>O34+11.5951</f>
        <v>1160.2445</v>
      </c>
    </row>
    <row r="35" spans="1:19" ht="69" x14ac:dyDescent="0.25">
      <c r="A35" s="142" t="s">
        <v>221</v>
      </c>
      <c r="B35" s="143" t="s">
        <v>222</v>
      </c>
      <c r="C35" s="144">
        <f>C36+C37+C38+C39</f>
        <v>1668.3201000000001</v>
      </c>
      <c r="D35" s="144">
        <f t="shared" ref="D35:G35" si="9">D36+D37+D38+D39</f>
        <v>1139.4395999999999</v>
      </c>
      <c r="E35" s="144">
        <f t="shared" si="9"/>
        <v>903.73830000000009</v>
      </c>
      <c r="F35" s="145">
        <f t="shared" si="9"/>
        <v>586.90329999999994</v>
      </c>
      <c r="G35" s="145">
        <f t="shared" si="9"/>
        <v>586.90329999999994</v>
      </c>
      <c r="H35" s="146">
        <f t="shared" si="4"/>
        <v>0</v>
      </c>
      <c r="I35" s="146">
        <f t="shared" si="5"/>
        <v>0</v>
      </c>
      <c r="J35" s="145">
        <f t="shared" ref="J35:K35" si="10">J36+J37+J38+J39</f>
        <v>671.96229999999991</v>
      </c>
      <c r="K35" s="145">
        <f t="shared" si="10"/>
        <v>887.3492</v>
      </c>
      <c r="L35" s="146">
        <f t="shared" si="0"/>
        <v>-215.38690000000008</v>
      </c>
      <c r="M35" s="146">
        <f t="shared" si="1"/>
        <v>-24.27307084967228</v>
      </c>
      <c r="N35" s="145">
        <f t="shared" ref="N35:O35" si="11">N36+N37+N38+N39</f>
        <v>655.86069999999995</v>
      </c>
      <c r="O35" s="145">
        <f t="shared" si="11"/>
        <v>870.54920000000004</v>
      </c>
      <c r="P35" s="147">
        <f t="shared" si="2"/>
        <v>-214.68850000000009</v>
      </c>
      <c r="Q35" s="148">
        <f t="shared" si="3"/>
        <v>-24.661271298623916</v>
      </c>
      <c r="R35" s="149">
        <f>K35+515.7452</f>
        <v>1403.0944</v>
      </c>
      <c r="S35" s="150">
        <f>O35+515.7452</f>
        <v>1386.2944</v>
      </c>
    </row>
    <row r="36" spans="1:19" ht="41.4" x14ac:dyDescent="0.25">
      <c r="A36" s="151" t="s">
        <v>223</v>
      </c>
      <c r="B36" s="152" t="s">
        <v>224</v>
      </c>
      <c r="C36" s="153">
        <v>1459.1256000000001</v>
      </c>
      <c r="D36" s="153">
        <v>926.69759999999997</v>
      </c>
      <c r="E36" s="153">
        <v>656.97900000000004</v>
      </c>
      <c r="F36" s="154">
        <v>358.3177</v>
      </c>
      <c r="G36" s="155">
        <v>358.3177</v>
      </c>
      <c r="H36" s="156">
        <f t="shared" si="4"/>
        <v>0</v>
      </c>
      <c r="I36" s="156">
        <f t="shared" si="5"/>
        <v>0</v>
      </c>
      <c r="J36" s="155">
        <v>476.0745</v>
      </c>
      <c r="K36" s="155">
        <v>674.8</v>
      </c>
      <c r="L36" s="156">
        <f t="shared" si="0"/>
        <v>-198.72549999999995</v>
      </c>
      <c r="M36" s="156">
        <f t="shared" si="1"/>
        <v>-29.449540604623593</v>
      </c>
      <c r="N36" s="155">
        <v>459.27449999999999</v>
      </c>
      <c r="O36" s="155">
        <v>658</v>
      </c>
      <c r="P36" s="157">
        <f t="shared" si="2"/>
        <v>-198.72550000000001</v>
      </c>
      <c r="Q36" s="158">
        <f t="shared" si="3"/>
        <v>-30.201443768996967</v>
      </c>
      <c r="R36" s="140"/>
      <c r="S36" s="141"/>
    </row>
    <row r="37" spans="1:19" ht="27.6" x14ac:dyDescent="0.25">
      <c r="A37" s="151" t="s">
        <v>225</v>
      </c>
      <c r="B37" s="152" t="s">
        <v>226</v>
      </c>
      <c r="C37" s="153">
        <v>1.9085000000000001</v>
      </c>
      <c r="D37" s="153">
        <v>1.7656000000000001</v>
      </c>
      <c r="E37" s="153">
        <v>3.4338000000000002</v>
      </c>
      <c r="F37" s="154">
        <v>1.2295</v>
      </c>
      <c r="G37" s="155">
        <v>1.2295</v>
      </c>
      <c r="H37" s="156">
        <f t="shared" si="4"/>
        <v>0</v>
      </c>
      <c r="I37" s="156">
        <f t="shared" si="5"/>
        <v>0</v>
      </c>
      <c r="J37" s="155">
        <v>2.19</v>
      </c>
      <c r="K37" s="155">
        <v>1.835</v>
      </c>
      <c r="L37" s="156">
        <f t="shared" si="0"/>
        <v>0.35499999999999998</v>
      </c>
      <c r="M37" s="156">
        <f t="shared" si="1"/>
        <v>19.346049046321539</v>
      </c>
      <c r="N37" s="155">
        <v>2.1901000000000002</v>
      </c>
      <c r="O37" s="155">
        <v>1.835</v>
      </c>
      <c r="P37" s="157">
        <f t="shared" si="2"/>
        <v>0.35510000000000019</v>
      </c>
      <c r="Q37" s="158">
        <f t="shared" si="3"/>
        <v>19.351498637602191</v>
      </c>
      <c r="R37" s="140"/>
      <c r="S37" s="141"/>
    </row>
    <row r="38" spans="1:19" ht="27.6" x14ac:dyDescent="0.25">
      <c r="A38" s="151" t="s">
        <v>227</v>
      </c>
      <c r="B38" s="152" t="s">
        <v>228</v>
      </c>
      <c r="C38" s="153">
        <v>207.286</v>
      </c>
      <c r="D38" s="153">
        <v>210.97640000000001</v>
      </c>
      <c r="E38" s="153">
        <v>238.32550000000001</v>
      </c>
      <c r="F38" s="154">
        <v>222.3561</v>
      </c>
      <c r="G38" s="155">
        <v>222.3561</v>
      </c>
      <c r="H38" s="156">
        <f t="shared" si="4"/>
        <v>0</v>
      </c>
      <c r="I38" s="156">
        <f t="shared" si="5"/>
        <v>0</v>
      </c>
      <c r="J38" s="155">
        <v>190.04769999999999</v>
      </c>
      <c r="K38" s="155">
        <v>205.71420000000001</v>
      </c>
      <c r="L38" s="156">
        <f t="shared" si="0"/>
        <v>-15.666500000000013</v>
      </c>
      <c r="M38" s="156">
        <f t="shared" si="1"/>
        <v>-7.6156628954150989</v>
      </c>
      <c r="N38" s="155">
        <v>190.74600000000001</v>
      </c>
      <c r="O38" s="155">
        <v>205.71420000000001</v>
      </c>
      <c r="P38" s="157">
        <f t="shared" si="2"/>
        <v>-14.968199999999996</v>
      </c>
      <c r="Q38" s="158">
        <f t="shared" si="3"/>
        <v>-7.2762113650880735</v>
      </c>
      <c r="R38" s="140"/>
      <c r="S38" s="141"/>
    </row>
    <row r="39" spans="1:19" ht="41.4" x14ac:dyDescent="0.25">
      <c r="A39" s="159" t="s">
        <v>229</v>
      </c>
      <c r="B39" s="160" t="s">
        <v>230</v>
      </c>
      <c r="C39" s="161"/>
      <c r="D39" s="161"/>
      <c r="E39" s="161">
        <v>5</v>
      </c>
      <c r="F39" s="162">
        <v>5</v>
      </c>
      <c r="G39" s="163">
        <v>5</v>
      </c>
      <c r="H39" s="164">
        <f t="shared" si="4"/>
        <v>0</v>
      </c>
      <c r="I39" s="164">
        <f t="shared" si="5"/>
        <v>0</v>
      </c>
      <c r="J39" s="163">
        <v>3.6501000000000001</v>
      </c>
      <c r="K39" s="163">
        <v>5</v>
      </c>
      <c r="L39" s="164">
        <f t="shared" si="0"/>
        <v>-1.3498999999999999</v>
      </c>
      <c r="M39" s="164">
        <f t="shared" si="1"/>
        <v>-26.998000000000005</v>
      </c>
      <c r="N39" s="163">
        <v>3.6501000000000001</v>
      </c>
      <c r="O39" s="163">
        <v>5</v>
      </c>
      <c r="P39" s="165">
        <f t="shared" si="2"/>
        <v>-1.3498999999999999</v>
      </c>
      <c r="Q39" s="166">
        <f t="shared" si="3"/>
        <v>-26.998000000000005</v>
      </c>
      <c r="R39" s="140"/>
      <c r="S39" s="141"/>
    </row>
    <row r="40" spans="1:19" ht="69" x14ac:dyDescent="0.25">
      <c r="A40" s="142" t="s">
        <v>231</v>
      </c>
      <c r="B40" s="143" t="s">
        <v>232</v>
      </c>
      <c r="C40" s="144">
        <f>C41+C42+C44</f>
        <v>496.28110000000004</v>
      </c>
      <c r="D40" s="144">
        <f t="shared" ref="D40:G40" si="12">D41+D42+D44</f>
        <v>409.57940000000002</v>
      </c>
      <c r="E40" s="144">
        <f t="shared" si="12"/>
        <v>360.6549</v>
      </c>
      <c r="F40" s="145">
        <f t="shared" si="12"/>
        <v>468.21069999999997</v>
      </c>
      <c r="G40" s="145">
        <f t="shared" si="12"/>
        <v>468.21050000000002</v>
      </c>
      <c r="H40" s="146">
        <f t="shared" si="4"/>
        <v>1.9999999994979589E-4</v>
      </c>
      <c r="I40" s="146">
        <f t="shared" si="5"/>
        <v>4.2715829721373666E-5</v>
      </c>
      <c r="J40" s="145">
        <f t="shared" ref="J40" si="13">J41+J42+J44</f>
        <v>189.3013</v>
      </c>
      <c r="K40" s="145">
        <f>SUM(K41:K44)</f>
        <v>1686.8058999999998</v>
      </c>
      <c r="L40" s="146">
        <f t="shared" si="0"/>
        <v>-1497.5045999999998</v>
      </c>
      <c r="M40" s="146">
        <f t="shared" si="1"/>
        <v>-88.777529175111368</v>
      </c>
      <c r="N40" s="145">
        <f>SUM(N41:N44)</f>
        <v>191.01839999999999</v>
      </c>
      <c r="O40" s="145">
        <f>SUM(O41:O44)</f>
        <v>1746.9253999999999</v>
      </c>
      <c r="P40" s="147">
        <f t="shared" si="2"/>
        <v>-1555.9069999999999</v>
      </c>
      <c r="Q40" s="148">
        <f t="shared" si="3"/>
        <v>-89.065451793190476</v>
      </c>
      <c r="R40" s="149">
        <f>K40+62.7167</f>
        <v>1749.5225999999998</v>
      </c>
      <c r="S40" s="150">
        <f>O40+62.4403</f>
        <v>1809.3656999999998</v>
      </c>
    </row>
    <row r="41" spans="1:19" ht="41.4" x14ac:dyDescent="0.25">
      <c r="A41" s="151" t="s">
        <v>233</v>
      </c>
      <c r="B41" s="152" t="s">
        <v>234</v>
      </c>
      <c r="C41" s="153">
        <v>260.01350000000002</v>
      </c>
      <c r="D41" s="153">
        <v>232.6524</v>
      </c>
      <c r="E41" s="153">
        <v>135.37950000000001</v>
      </c>
      <c r="F41" s="154">
        <v>297.2296</v>
      </c>
      <c r="G41" s="155">
        <v>297.2296</v>
      </c>
      <c r="H41" s="156">
        <f t="shared" si="4"/>
        <v>0</v>
      </c>
      <c r="I41" s="156">
        <f t="shared" si="5"/>
        <v>0</v>
      </c>
      <c r="J41" s="155">
        <v>18.401399999999999</v>
      </c>
      <c r="K41" s="155">
        <v>1489.6628000000001</v>
      </c>
      <c r="L41" s="156">
        <f t="shared" si="0"/>
        <v>-1471.2614000000001</v>
      </c>
      <c r="M41" s="156">
        <f t="shared" si="1"/>
        <v>-98.764727158387785</v>
      </c>
      <c r="N41" s="155">
        <v>20</v>
      </c>
      <c r="O41" s="155">
        <v>1546.4603</v>
      </c>
      <c r="P41" s="157">
        <f t="shared" si="2"/>
        <v>-1526.4603</v>
      </c>
      <c r="Q41" s="158">
        <f t="shared" si="3"/>
        <v>-98.706723994143275</v>
      </c>
      <c r="R41" s="140"/>
      <c r="S41" s="141"/>
    </row>
    <row r="42" spans="1:19" ht="27.6" x14ac:dyDescent="0.25">
      <c r="A42" s="151" t="s">
        <v>235</v>
      </c>
      <c r="B42" s="152" t="s">
        <v>236</v>
      </c>
      <c r="C42" s="153">
        <v>98.438400000000001</v>
      </c>
      <c r="D42" s="153">
        <v>38.064</v>
      </c>
      <c r="E42" s="153">
        <v>82.412899999999993</v>
      </c>
      <c r="F42" s="154">
        <v>50</v>
      </c>
      <c r="G42" s="155">
        <v>50</v>
      </c>
      <c r="H42" s="156">
        <f t="shared" si="4"/>
        <v>0</v>
      </c>
      <c r="I42" s="156">
        <f t="shared" si="5"/>
        <v>0</v>
      </c>
      <c r="J42" s="155">
        <v>50</v>
      </c>
      <c r="K42" s="155">
        <v>76</v>
      </c>
      <c r="L42" s="156">
        <f t="shared" si="0"/>
        <v>-26</v>
      </c>
      <c r="M42" s="156">
        <f t="shared" si="1"/>
        <v>-34.210526315789465</v>
      </c>
      <c r="N42" s="155">
        <v>50</v>
      </c>
      <c r="O42" s="155">
        <v>79</v>
      </c>
      <c r="P42" s="157">
        <f t="shared" si="2"/>
        <v>-29</v>
      </c>
      <c r="Q42" s="158">
        <f t="shared" si="3"/>
        <v>-36.708860759493668</v>
      </c>
      <c r="R42" s="140"/>
      <c r="S42" s="141"/>
    </row>
    <row r="43" spans="1:19" ht="41.4" x14ac:dyDescent="0.25">
      <c r="A43" s="151" t="s">
        <v>237</v>
      </c>
      <c r="B43" s="152"/>
      <c r="C43" s="153"/>
      <c r="D43" s="153"/>
      <c r="E43" s="153"/>
      <c r="F43" s="154"/>
      <c r="G43" s="155"/>
      <c r="H43" s="156"/>
      <c r="I43" s="156"/>
      <c r="J43" s="155">
        <v>0</v>
      </c>
      <c r="K43" s="155">
        <v>0.2432</v>
      </c>
      <c r="L43" s="156">
        <f t="shared" si="0"/>
        <v>-0.2432</v>
      </c>
      <c r="M43" s="156">
        <f t="shared" si="1"/>
        <v>-100</v>
      </c>
      <c r="N43" s="155">
        <v>0</v>
      </c>
      <c r="O43" s="155">
        <v>0.44669999999999999</v>
      </c>
      <c r="P43" s="157">
        <f t="shared" si="2"/>
        <v>-0.44669999999999999</v>
      </c>
      <c r="Q43" s="158">
        <f t="shared" si="3"/>
        <v>-100</v>
      </c>
      <c r="R43" s="140"/>
      <c r="S43" s="141"/>
    </row>
    <row r="44" spans="1:19" ht="27.6" x14ac:dyDescent="0.25">
      <c r="A44" s="159" t="s">
        <v>227</v>
      </c>
      <c r="B44" s="160" t="s">
        <v>238</v>
      </c>
      <c r="C44" s="161">
        <v>137.82919999999999</v>
      </c>
      <c r="D44" s="161">
        <v>138.863</v>
      </c>
      <c r="E44" s="161">
        <v>142.86250000000001</v>
      </c>
      <c r="F44" s="162">
        <v>120.9811</v>
      </c>
      <c r="G44" s="163">
        <v>120.98090000000001</v>
      </c>
      <c r="H44" s="164">
        <f t="shared" si="4"/>
        <v>1.9999999999242846E-4</v>
      </c>
      <c r="I44" s="164">
        <f t="shared" si="5"/>
        <v>1.6531535142405573E-4</v>
      </c>
      <c r="J44" s="163">
        <v>120.8999</v>
      </c>
      <c r="K44" s="163">
        <v>120.8999</v>
      </c>
      <c r="L44" s="164">
        <f t="shared" si="0"/>
        <v>0</v>
      </c>
      <c r="M44" s="164">
        <f t="shared" si="1"/>
        <v>0</v>
      </c>
      <c r="N44" s="163">
        <v>121.0184</v>
      </c>
      <c r="O44" s="163">
        <v>121.0184</v>
      </c>
      <c r="P44" s="165">
        <f t="shared" si="2"/>
        <v>0</v>
      </c>
      <c r="Q44" s="166">
        <f t="shared" si="3"/>
        <v>0</v>
      </c>
      <c r="R44" s="140"/>
      <c r="S44" s="141"/>
    </row>
    <row r="45" spans="1:19" ht="55.2" x14ac:dyDescent="0.25">
      <c r="A45" s="142" t="s">
        <v>239</v>
      </c>
      <c r="B45" s="143" t="s">
        <v>240</v>
      </c>
      <c r="C45" s="144" t="e">
        <f>C46+C47+#REF!+C49</f>
        <v>#REF!</v>
      </c>
      <c r="D45" s="144" t="e">
        <f>D46+D47+#REF!+D49</f>
        <v>#REF!</v>
      </c>
      <c r="E45" s="144" t="e">
        <f>E46+E47+#REF!+E49</f>
        <v>#REF!</v>
      </c>
      <c r="F45" s="145">
        <f>F46+F47+F49+F48</f>
        <v>407.745</v>
      </c>
      <c r="G45" s="145">
        <f>G46+G47+G49+G48</f>
        <v>407.74509999999998</v>
      </c>
      <c r="H45" s="146">
        <f t="shared" si="4"/>
        <v>-9.9999999974897946E-5</v>
      </c>
      <c r="I45" s="146">
        <f t="shared" si="5"/>
        <v>-2.4525126107732831E-5</v>
      </c>
      <c r="J45" s="145">
        <f>J46+J47+J49</f>
        <v>419.99059999999997</v>
      </c>
      <c r="K45" s="145">
        <f>K46+K47+K49</f>
        <v>419.99059999999997</v>
      </c>
      <c r="L45" s="146">
        <f t="shared" si="0"/>
        <v>0</v>
      </c>
      <c r="M45" s="146">
        <f t="shared" si="1"/>
        <v>0</v>
      </c>
      <c r="N45" s="145">
        <f>N46+N47+N49</f>
        <v>417.29459999999995</v>
      </c>
      <c r="O45" s="145">
        <f>O46+O47+O49</f>
        <v>417.29509999999999</v>
      </c>
      <c r="P45" s="147">
        <f t="shared" si="2"/>
        <v>-5.0000000004501999E-4</v>
      </c>
      <c r="Q45" s="148">
        <f t="shared" si="3"/>
        <v>-1.1981928376769702E-4</v>
      </c>
      <c r="R45" s="149">
        <f>K45+444.4174</f>
        <v>864.4079999999999</v>
      </c>
      <c r="S45" s="150">
        <f>O45+454.4565</f>
        <v>871.75160000000005</v>
      </c>
    </row>
    <row r="46" spans="1:19" ht="41.4" x14ac:dyDescent="0.25">
      <c r="A46" s="151" t="s">
        <v>241</v>
      </c>
      <c r="B46" s="152" t="s">
        <v>242</v>
      </c>
      <c r="C46" s="153">
        <v>828.43610000000001</v>
      </c>
      <c r="D46" s="153">
        <v>867.77940000000001</v>
      </c>
      <c r="E46" s="153">
        <v>871.60350000000005</v>
      </c>
      <c r="F46" s="154">
        <v>391.42720000000003</v>
      </c>
      <c r="G46" s="155">
        <v>391.4273</v>
      </c>
      <c r="H46" s="156">
        <f t="shared" si="4"/>
        <v>-9.9999999974897946E-5</v>
      </c>
      <c r="I46" s="156">
        <f t="shared" si="5"/>
        <v>-2.5547528238689665E-5</v>
      </c>
      <c r="J46" s="155">
        <v>410.12430000000001</v>
      </c>
      <c r="K46" s="155">
        <v>410.12430000000001</v>
      </c>
      <c r="L46" s="156">
        <f t="shared" si="0"/>
        <v>0</v>
      </c>
      <c r="M46" s="156">
        <f t="shared" si="1"/>
        <v>0</v>
      </c>
      <c r="N46" s="155">
        <v>407.42829999999998</v>
      </c>
      <c r="O46" s="155">
        <v>407.42880000000002</v>
      </c>
      <c r="P46" s="157">
        <f t="shared" si="2"/>
        <v>-5.0000000004501999E-4</v>
      </c>
      <c r="Q46" s="158">
        <f t="shared" si="3"/>
        <v>-1.227208287701842E-4</v>
      </c>
      <c r="R46" s="140"/>
      <c r="S46" s="141"/>
    </row>
    <row r="47" spans="1:19" ht="41.4" x14ac:dyDescent="0.25">
      <c r="A47" s="151" t="s">
        <v>243</v>
      </c>
      <c r="B47" s="152" t="s">
        <v>244</v>
      </c>
      <c r="C47" s="153">
        <v>10.0901</v>
      </c>
      <c r="D47" s="153">
        <v>9.8375000000000004</v>
      </c>
      <c r="E47" s="153">
        <v>9.8488000000000007</v>
      </c>
      <c r="F47" s="154">
        <v>9.8488000000000007</v>
      </c>
      <c r="G47" s="155">
        <v>9.8488000000000007</v>
      </c>
      <c r="H47" s="156">
        <f t="shared" si="4"/>
        <v>0</v>
      </c>
      <c r="I47" s="156">
        <f t="shared" si="5"/>
        <v>0</v>
      </c>
      <c r="J47" s="155">
        <v>9.8488000000000007</v>
      </c>
      <c r="K47" s="155">
        <v>9.8488000000000007</v>
      </c>
      <c r="L47" s="156">
        <f t="shared" si="0"/>
        <v>0</v>
      </c>
      <c r="M47" s="156">
        <f t="shared" si="1"/>
        <v>0</v>
      </c>
      <c r="N47" s="155">
        <v>9.8488000000000007</v>
      </c>
      <c r="O47" s="155">
        <v>9.8488000000000007</v>
      </c>
      <c r="P47" s="157">
        <f t="shared" si="2"/>
        <v>0</v>
      </c>
      <c r="Q47" s="158">
        <f t="shared" si="3"/>
        <v>0</v>
      </c>
      <c r="R47" s="140"/>
      <c r="S47" s="141"/>
    </row>
    <row r="48" spans="1:19" ht="27.6" x14ac:dyDescent="0.25">
      <c r="A48" s="151" t="s">
        <v>245</v>
      </c>
      <c r="B48" s="152"/>
      <c r="C48" s="153"/>
      <c r="D48" s="153"/>
      <c r="E48" s="153"/>
      <c r="F48" s="154">
        <v>6.4515000000000002</v>
      </c>
      <c r="G48" s="155">
        <v>6.4515000000000002</v>
      </c>
      <c r="H48" s="156">
        <f t="shared" si="4"/>
        <v>0</v>
      </c>
      <c r="I48" s="156">
        <f t="shared" si="5"/>
        <v>0</v>
      </c>
      <c r="J48" s="155"/>
      <c r="K48" s="155"/>
      <c r="L48" s="156"/>
      <c r="M48" s="156"/>
      <c r="N48" s="155"/>
      <c r="O48" s="155"/>
      <c r="P48" s="157"/>
      <c r="Q48" s="158"/>
      <c r="R48" s="140"/>
      <c r="S48" s="141"/>
    </row>
    <row r="49" spans="1:19" ht="55.2" x14ac:dyDescent="0.25">
      <c r="A49" s="159" t="s">
        <v>246</v>
      </c>
      <c r="B49" s="160" t="s">
        <v>247</v>
      </c>
      <c r="C49" s="161">
        <v>0.66010000000000002</v>
      </c>
      <c r="D49" s="161">
        <v>1.996</v>
      </c>
      <c r="E49" s="161">
        <v>0.1173</v>
      </c>
      <c r="F49" s="162">
        <v>1.7500000000000002E-2</v>
      </c>
      <c r="G49" s="163">
        <v>1.7500000000000002E-2</v>
      </c>
      <c r="H49" s="164">
        <f t="shared" si="4"/>
        <v>0</v>
      </c>
      <c r="I49" s="164">
        <f t="shared" si="5"/>
        <v>0</v>
      </c>
      <c r="J49" s="163">
        <v>1.7500000000000002E-2</v>
      </c>
      <c r="K49" s="163">
        <v>1.7500000000000002E-2</v>
      </c>
      <c r="L49" s="164">
        <f t="shared" si="0"/>
        <v>0</v>
      </c>
      <c r="M49" s="164">
        <f t="shared" si="1"/>
        <v>0</v>
      </c>
      <c r="N49" s="163">
        <v>1.7500000000000002E-2</v>
      </c>
      <c r="O49" s="163">
        <v>1.7500000000000002E-2</v>
      </c>
      <c r="P49" s="165">
        <f t="shared" si="2"/>
        <v>0</v>
      </c>
      <c r="Q49" s="166">
        <f t="shared" si="3"/>
        <v>0</v>
      </c>
      <c r="R49" s="140"/>
      <c r="S49" s="141"/>
    </row>
    <row r="50" spans="1:19" ht="96.6" x14ac:dyDescent="0.25">
      <c r="A50" s="142" t="s">
        <v>248</v>
      </c>
      <c r="B50" s="143" t="s">
        <v>249</v>
      </c>
      <c r="C50" s="144">
        <f>SUM(C51:C53)</f>
        <v>17.060300000000002</v>
      </c>
      <c r="D50" s="144">
        <f>SUM(D51:D53)</f>
        <v>33.632599999999996</v>
      </c>
      <c r="E50" s="144">
        <f>SUM(E51:E53)</f>
        <v>9.7012999999999998</v>
      </c>
      <c r="F50" s="145">
        <f>SUM(F51:F53)</f>
        <v>3.855</v>
      </c>
      <c r="G50" s="145">
        <f>SUM(G51:G53)</f>
        <v>3.855</v>
      </c>
      <c r="H50" s="146">
        <f t="shared" si="4"/>
        <v>0</v>
      </c>
      <c r="I50" s="146">
        <f>F50/G50*100-100</f>
        <v>0</v>
      </c>
      <c r="J50" s="145">
        <f>SUM(J51:J53)</f>
        <v>5.2829999999999995</v>
      </c>
      <c r="K50" s="145">
        <f>SUM(K51:K53)</f>
        <v>5.2829999999999995</v>
      </c>
      <c r="L50" s="146">
        <f t="shared" si="0"/>
        <v>0</v>
      </c>
      <c r="M50" s="146">
        <f t="shared" si="1"/>
        <v>0</v>
      </c>
      <c r="N50" s="145">
        <f>SUM(N51:N53)</f>
        <v>5.2829999999999995</v>
      </c>
      <c r="O50" s="145">
        <f>SUM(O51:O53)</f>
        <v>5.2829999999999995</v>
      </c>
      <c r="P50" s="147">
        <f t="shared" si="2"/>
        <v>0</v>
      </c>
      <c r="Q50" s="148">
        <f t="shared" si="3"/>
        <v>0</v>
      </c>
      <c r="R50" s="149">
        <f>K50</f>
        <v>5.2829999999999995</v>
      </c>
      <c r="S50" s="150">
        <f>O50</f>
        <v>5.2829999999999995</v>
      </c>
    </row>
    <row r="51" spans="1:19" ht="69" x14ac:dyDescent="0.25">
      <c r="A51" s="151" t="s">
        <v>250</v>
      </c>
      <c r="B51" s="152" t="s">
        <v>251</v>
      </c>
      <c r="C51" s="153">
        <v>4.71</v>
      </c>
      <c r="D51" s="153">
        <v>1.1299999999999999</v>
      </c>
      <c r="E51" s="153">
        <v>1.212</v>
      </c>
      <c r="F51" s="154">
        <v>0.54500000000000004</v>
      </c>
      <c r="G51" s="155">
        <v>0.44500000000000001</v>
      </c>
      <c r="H51" s="156">
        <f t="shared" si="4"/>
        <v>0.10000000000000003</v>
      </c>
      <c r="I51" s="156">
        <f>F51/G51*100-100</f>
        <v>22.471910112359566</v>
      </c>
      <c r="J51" s="155">
        <v>0.6</v>
      </c>
      <c r="K51" s="155">
        <v>0.6</v>
      </c>
      <c r="L51" s="156">
        <f t="shared" si="0"/>
        <v>0</v>
      </c>
      <c r="M51" s="156">
        <f t="shared" si="1"/>
        <v>0</v>
      </c>
      <c r="N51" s="155">
        <v>0.6</v>
      </c>
      <c r="O51" s="155">
        <v>0.6</v>
      </c>
      <c r="P51" s="157">
        <f t="shared" si="2"/>
        <v>0</v>
      </c>
      <c r="Q51" s="158">
        <f t="shared" si="3"/>
        <v>0</v>
      </c>
      <c r="R51" s="140"/>
      <c r="S51" s="141"/>
    </row>
    <row r="52" spans="1:19" ht="27.6" x14ac:dyDescent="0.25">
      <c r="A52" s="151" t="s">
        <v>252</v>
      </c>
      <c r="B52" s="152" t="s">
        <v>253</v>
      </c>
      <c r="C52" s="153">
        <v>8.5322999999999993</v>
      </c>
      <c r="D52" s="153">
        <v>30.027000000000001</v>
      </c>
      <c r="E52" s="153">
        <v>5.9893000000000001</v>
      </c>
      <c r="F52" s="154">
        <v>3.31</v>
      </c>
      <c r="G52" s="155">
        <v>3.31</v>
      </c>
      <c r="H52" s="156">
        <f t="shared" si="4"/>
        <v>0</v>
      </c>
      <c r="I52" s="156">
        <f t="shared" si="5"/>
        <v>0</v>
      </c>
      <c r="J52" s="155">
        <v>1.7829999999999999</v>
      </c>
      <c r="K52" s="155">
        <v>1.7829999999999999</v>
      </c>
      <c r="L52" s="156">
        <f t="shared" si="0"/>
        <v>0</v>
      </c>
      <c r="M52" s="156">
        <f t="shared" si="1"/>
        <v>0</v>
      </c>
      <c r="N52" s="155">
        <v>1.7829999999999999</v>
      </c>
      <c r="O52" s="155">
        <v>1.7829999999999999</v>
      </c>
      <c r="P52" s="157">
        <f t="shared" si="2"/>
        <v>0</v>
      </c>
      <c r="Q52" s="158">
        <f t="shared" si="3"/>
        <v>0</v>
      </c>
      <c r="R52" s="140"/>
      <c r="S52" s="141"/>
    </row>
    <row r="53" spans="1:19" ht="27.6" x14ac:dyDescent="0.25">
      <c r="A53" s="174" t="s">
        <v>254</v>
      </c>
      <c r="B53" s="160"/>
      <c r="C53" s="161">
        <v>3.8180000000000001</v>
      </c>
      <c r="D53" s="161">
        <v>2.4756</v>
      </c>
      <c r="E53" s="161">
        <v>2.5</v>
      </c>
      <c r="F53" s="162"/>
      <c r="G53" s="163">
        <v>0.1</v>
      </c>
      <c r="H53" s="164">
        <f t="shared" si="4"/>
        <v>-0.1</v>
      </c>
      <c r="I53" s="156">
        <f t="shared" si="5"/>
        <v>-100</v>
      </c>
      <c r="J53" s="163">
        <v>2.9</v>
      </c>
      <c r="K53" s="163">
        <v>2.9</v>
      </c>
      <c r="L53" s="164">
        <f t="shared" si="0"/>
        <v>0</v>
      </c>
      <c r="M53" s="164">
        <f t="shared" si="1"/>
        <v>0</v>
      </c>
      <c r="N53" s="163">
        <v>2.9</v>
      </c>
      <c r="O53" s="163">
        <v>2.9</v>
      </c>
      <c r="P53" s="165">
        <f t="shared" si="2"/>
        <v>0</v>
      </c>
      <c r="Q53" s="166">
        <f t="shared" si="3"/>
        <v>0</v>
      </c>
      <c r="R53" s="140"/>
      <c r="S53" s="141"/>
    </row>
    <row r="54" spans="1:19" ht="82.8" x14ac:dyDescent="0.25">
      <c r="A54" s="142" t="s">
        <v>255</v>
      </c>
      <c r="B54" s="143" t="s">
        <v>256</v>
      </c>
      <c r="C54" s="144">
        <f>C55+C56+C57+C58</f>
        <v>1080.5881999999999</v>
      </c>
      <c r="D54" s="144">
        <f t="shared" ref="D54:G54" si="14">D55+D56+D57+D58</f>
        <v>1143.0186000000001</v>
      </c>
      <c r="E54" s="144">
        <f t="shared" si="14"/>
        <v>1114.5907999999999</v>
      </c>
      <c r="F54" s="145">
        <f t="shared" si="14"/>
        <v>1077.6109999999999</v>
      </c>
      <c r="G54" s="145">
        <f t="shared" si="14"/>
        <v>1077.6109299999998</v>
      </c>
      <c r="H54" s="146">
        <f t="shared" si="4"/>
        <v>7.0000000050640665E-5</v>
      </c>
      <c r="I54" s="146">
        <f t="shared" si="5"/>
        <v>6.4958509682355725E-6</v>
      </c>
      <c r="J54" s="145">
        <f t="shared" ref="J54:K54" si="15">J55+J56+J57+J58</f>
        <v>1120.6858</v>
      </c>
      <c r="K54" s="145">
        <f t="shared" si="15"/>
        <v>1278.5464999999999</v>
      </c>
      <c r="L54" s="146">
        <f t="shared" si="0"/>
        <v>-157.86069999999995</v>
      </c>
      <c r="M54" s="146">
        <f t="shared" si="1"/>
        <v>-12.346887657195111</v>
      </c>
      <c r="N54" s="145">
        <f t="shared" ref="N54:O54" si="16">N55+N56+N57+N58</f>
        <v>1146.6848999999997</v>
      </c>
      <c r="O54" s="145">
        <f t="shared" si="16"/>
        <v>1272.4482999999998</v>
      </c>
      <c r="P54" s="147">
        <f t="shared" si="2"/>
        <v>-125.76340000000005</v>
      </c>
      <c r="Q54" s="148">
        <f t="shared" si="3"/>
        <v>-9.88357640935196</v>
      </c>
      <c r="R54" s="149">
        <f>K54</f>
        <v>1278.5464999999999</v>
      </c>
      <c r="S54" s="150">
        <f>O54</f>
        <v>1272.4482999999998</v>
      </c>
    </row>
    <row r="55" spans="1:19" ht="27.6" x14ac:dyDescent="0.25">
      <c r="A55" s="151" t="s">
        <v>257</v>
      </c>
      <c r="B55" s="152" t="s">
        <v>258</v>
      </c>
      <c r="C55" s="153">
        <v>883.94449999999995</v>
      </c>
      <c r="D55" s="153">
        <v>860.24990000000003</v>
      </c>
      <c r="E55" s="153">
        <v>872.70979999999997</v>
      </c>
      <c r="F55" s="154">
        <v>842.17219999999998</v>
      </c>
      <c r="G55" s="155">
        <v>842.17219999999998</v>
      </c>
      <c r="H55" s="156">
        <f t="shared" si="4"/>
        <v>0</v>
      </c>
      <c r="I55" s="156">
        <f t="shared" si="5"/>
        <v>0</v>
      </c>
      <c r="J55" s="155">
        <v>889.45119999999997</v>
      </c>
      <c r="K55" s="155">
        <v>1061.5485000000001</v>
      </c>
      <c r="L55" s="156">
        <f t="shared" si="0"/>
        <v>-172.09730000000013</v>
      </c>
      <c r="M55" s="156">
        <f t="shared" si="1"/>
        <v>-16.211911184463091</v>
      </c>
      <c r="N55" s="155">
        <v>907.79079999999999</v>
      </c>
      <c r="O55" s="155">
        <v>1047.7908</v>
      </c>
      <c r="P55" s="157">
        <f t="shared" si="2"/>
        <v>-140</v>
      </c>
      <c r="Q55" s="158">
        <f t="shared" si="3"/>
        <v>-13.361445815328793</v>
      </c>
      <c r="R55" s="140"/>
      <c r="S55" s="141"/>
    </row>
    <row r="56" spans="1:19" ht="69" x14ac:dyDescent="0.25">
      <c r="A56" s="151" t="s">
        <v>259</v>
      </c>
      <c r="B56" s="152" t="s">
        <v>260</v>
      </c>
      <c r="C56" s="153">
        <v>186.48390000000001</v>
      </c>
      <c r="D56" s="153">
        <v>272.7688</v>
      </c>
      <c r="E56" s="153">
        <v>180.65809999999999</v>
      </c>
      <c r="F56" s="154">
        <v>157.7243</v>
      </c>
      <c r="G56" s="155">
        <v>157.7243</v>
      </c>
      <c r="H56" s="156">
        <f t="shared" si="4"/>
        <v>0</v>
      </c>
      <c r="I56" s="156">
        <f t="shared" si="5"/>
        <v>0</v>
      </c>
      <c r="J56" s="155">
        <v>197.37909999999999</v>
      </c>
      <c r="K56" s="155">
        <v>197.37909999999999</v>
      </c>
      <c r="L56" s="156">
        <f t="shared" si="0"/>
        <v>0</v>
      </c>
      <c r="M56" s="156">
        <f t="shared" si="1"/>
        <v>0</v>
      </c>
      <c r="N56" s="155">
        <v>199.98859999999999</v>
      </c>
      <c r="O56" s="155">
        <v>199.98859999999999</v>
      </c>
      <c r="P56" s="157">
        <f t="shared" si="2"/>
        <v>0</v>
      </c>
      <c r="Q56" s="158">
        <f t="shared" si="3"/>
        <v>0</v>
      </c>
      <c r="R56" s="140"/>
      <c r="S56" s="141"/>
    </row>
    <row r="57" spans="1:19" ht="41.4" x14ac:dyDescent="0.25">
      <c r="A57" s="151" t="s">
        <v>261</v>
      </c>
      <c r="B57" s="152" t="s">
        <v>262</v>
      </c>
      <c r="C57" s="153">
        <v>10.159800000000001</v>
      </c>
      <c r="D57" s="153">
        <v>9.9999000000000002</v>
      </c>
      <c r="E57" s="153">
        <v>15.588900000000001</v>
      </c>
      <c r="F57" s="154">
        <v>16.185300000000002</v>
      </c>
      <c r="G57" s="155">
        <v>16.185130000000001</v>
      </c>
      <c r="H57" s="156">
        <f t="shared" si="4"/>
        <v>1.7000000000066962E-4</v>
      </c>
      <c r="I57" s="156">
        <f t="shared" si="5"/>
        <v>1.0503468307092589E-3</v>
      </c>
      <c r="J57" s="155">
        <v>15.565300000000001</v>
      </c>
      <c r="K57" s="155">
        <v>15.565300000000001</v>
      </c>
      <c r="L57" s="156">
        <f t="shared" si="0"/>
        <v>0</v>
      </c>
      <c r="M57" s="156">
        <f t="shared" si="1"/>
        <v>0</v>
      </c>
      <c r="N57" s="155">
        <v>15.6153</v>
      </c>
      <c r="O57" s="155">
        <v>15.6153</v>
      </c>
      <c r="P57" s="157">
        <f t="shared" si="2"/>
        <v>0</v>
      </c>
      <c r="Q57" s="158">
        <f t="shared" si="3"/>
        <v>0</v>
      </c>
      <c r="R57" s="140"/>
      <c r="S57" s="141"/>
    </row>
    <row r="58" spans="1:19" ht="55.2" x14ac:dyDescent="0.25">
      <c r="A58" s="159" t="s">
        <v>263</v>
      </c>
      <c r="B58" s="160" t="s">
        <v>264</v>
      </c>
      <c r="C58" s="161"/>
      <c r="D58" s="161"/>
      <c r="E58" s="161">
        <v>45.634</v>
      </c>
      <c r="F58" s="162">
        <v>61.529200000000003</v>
      </c>
      <c r="G58" s="163">
        <v>61.529299999999999</v>
      </c>
      <c r="H58" s="164">
        <f t="shared" si="4"/>
        <v>-9.9999999996214228E-5</v>
      </c>
      <c r="I58" s="164">
        <f t="shared" si="5"/>
        <v>-1.6252419577256205E-4</v>
      </c>
      <c r="J58" s="163">
        <v>18.290199999999999</v>
      </c>
      <c r="K58" s="163">
        <v>4.0536000000000003</v>
      </c>
      <c r="L58" s="164">
        <f t="shared" si="0"/>
        <v>14.236599999999999</v>
      </c>
      <c r="M58" s="164">
        <f t="shared" si="1"/>
        <v>351.20880205249654</v>
      </c>
      <c r="N58" s="163">
        <v>23.290199999999999</v>
      </c>
      <c r="O58" s="163">
        <v>9.0535999999999994</v>
      </c>
      <c r="P58" s="165">
        <f t="shared" si="2"/>
        <v>14.236599999999999</v>
      </c>
      <c r="Q58" s="166">
        <f t="shared" si="3"/>
        <v>157.2479455686136</v>
      </c>
      <c r="R58" s="140"/>
      <c r="S58" s="141"/>
    </row>
    <row r="59" spans="1:19" ht="69" x14ac:dyDescent="0.25">
      <c r="A59" s="142" t="s">
        <v>265</v>
      </c>
      <c r="B59" s="143" t="s">
        <v>266</v>
      </c>
      <c r="C59" s="144">
        <f>C60+C61+C62</f>
        <v>216.68349999999998</v>
      </c>
      <c r="D59" s="144">
        <f t="shared" ref="D59:G59" si="17">D60+D61+D62</f>
        <v>132.7996</v>
      </c>
      <c r="E59" s="144">
        <f t="shared" si="17"/>
        <v>76.723799999999997</v>
      </c>
      <c r="F59" s="145">
        <f t="shared" si="17"/>
        <v>63.793499999999995</v>
      </c>
      <c r="G59" s="145">
        <f t="shared" si="17"/>
        <v>63.793499999999995</v>
      </c>
      <c r="H59" s="146">
        <f t="shared" si="4"/>
        <v>0</v>
      </c>
      <c r="I59" s="146">
        <f t="shared" si="5"/>
        <v>0</v>
      </c>
      <c r="J59" s="145">
        <f t="shared" ref="J59" si="18">J60+J61+J62</f>
        <v>108.6525</v>
      </c>
      <c r="K59" s="145">
        <f>K60+K61+K62</f>
        <v>416.76760000000002</v>
      </c>
      <c r="L59" s="146">
        <f t="shared" si="0"/>
        <v>-308.11509999999998</v>
      </c>
      <c r="M59" s="146">
        <f t="shared" si="1"/>
        <v>-73.929715265774021</v>
      </c>
      <c r="N59" s="145">
        <f t="shared" ref="N59:O59" si="19">N60+N61+N62</f>
        <v>112.92059999999999</v>
      </c>
      <c r="O59" s="145">
        <f t="shared" si="19"/>
        <v>302.41410000000002</v>
      </c>
      <c r="P59" s="147">
        <f t="shared" si="2"/>
        <v>-189.49350000000004</v>
      </c>
      <c r="Q59" s="148">
        <f t="shared" si="3"/>
        <v>-62.660272784899917</v>
      </c>
      <c r="R59" s="149">
        <f>K59+89.136</f>
        <v>505.90359999999998</v>
      </c>
      <c r="S59" s="150">
        <f>O59+89.1346</f>
        <v>391.54870000000005</v>
      </c>
    </row>
    <row r="60" spans="1:19" ht="41.4" x14ac:dyDescent="0.25">
      <c r="A60" s="151" t="s">
        <v>267</v>
      </c>
      <c r="B60" s="152" t="s">
        <v>268</v>
      </c>
      <c r="C60" s="153">
        <v>68.801299999999998</v>
      </c>
      <c r="D60" s="153">
        <v>31.028600000000001</v>
      </c>
      <c r="E60" s="153">
        <v>41.275799999999997</v>
      </c>
      <c r="F60" s="154">
        <v>30.331399999999999</v>
      </c>
      <c r="G60" s="155">
        <v>30.331399999999999</v>
      </c>
      <c r="H60" s="156">
        <f t="shared" si="4"/>
        <v>0</v>
      </c>
      <c r="I60" s="156">
        <f t="shared" si="5"/>
        <v>0</v>
      </c>
      <c r="J60" s="155">
        <v>33.622399999999999</v>
      </c>
      <c r="K60" s="155">
        <v>267.44099999999997</v>
      </c>
      <c r="L60" s="156">
        <f t="shared" si="0"/>
        <v>-233.81859999999998</v>
      </c>
      <c r="M60" s="156">
        <f t="shared" si="1"/>
        <v>-87.42810563825293</v>
      </c>
      <c r="N60" s="155">
        <v>35.756399999999999</v>
      </c>
      <c r="O60" s="155">
        <v>168.69</v>
      </c>
      <c r="P60" s="157">
        <f t="shared" si="2"/>
        <v>-132.93360000000001</v>
      </c>
      <c r="Q60" s="158">
        <f t="shared" si="3"/>
        <v>-78.803485683798684</v>
      </c>
      <c r="R60" s="140"/>
      <c r="S60" s="141"/>
    </row>
    <row r="61" spans="1:19" ht="27.6" x14ac:dyDescent="0.25">
      <c r="A61" s="151" t="s">
        <v>269</v>
      </c>
      <c r="B61" s="152" t="s">
        <v>270</v>
      </c>
      <c r="C61" s="153">
        <v>31.256</v>
      </c>
      <c r="D61" s="153">
        <v>23.8261</v>
      </c>
      <c r="E61" s="153">
        <v>21.134399999999999</v>
      </c>
      <c r="F61" s="154"/>
      <c r="G61" s="155"/>
      <c r="H61" s="156"/>
      <c r="I61" s="156"/>
      <c r="J61" s="155"/>
      <c r="K61" s="155">
        <v>23.68</v>
      </c>
      <c r="L61" s="156">
        <f t="shared" si="0"/>
        <v>-23.68</v>
      </c>
      <c r="M61" s="156">
        <f t="shared" si="1"/>
        <v>-100</v>
      </c>
      <c r="N61" s="155"/>
      <c r="O61" s="155">
        <v>13.18</v>
      </c>
      <c r="P61" s="157">
        <f t="shared" si="2"/>
        <v>-13.18</v>
      </c>
      <c r="Q61" s="158">
        <f t="shared" si="3"/>
        <v>-100</v>
      </c>
      <c r="R61" s="140"/>
      <c r="S61" s="141"/>
    </row>
    <row r="62" spans="1:19" ht="27.6" x14ac:dyDescent="0.25">
      <c r="A62" s="159" t="s">
        <v>271</v>
      </c>
      <c r="B62" s="160" t="s">
        <v>272</v>
      </c>
      <c r="C62" s="161">
        <v>116.6262</v>
      </c>
      <c r="D62" s="161">
        <v>77.944900000000004</v>
      </c>
      <c r="E62" s="161">
        <v>14.313599999999999</v>
      </c>
      <c r="F62" s="162">
        <v>33.4621</v>
      </c>
      <c r="G62" s="163">
        <v>33.4621</v>
      </c>
      <c r="H62" s="164">
        <f t="shared" si="4"/>
        <v>0</v>
      </c>
      <c r="I62" s="164">
        <f t="shared" si="5"/>
        <v>0</v>
      </c>
      <c r="J62" s="163">
        <v>75.030100000000004</v>
      </c>
      <c r="K62" s="163">
        <v>125.64660000000001</v>
      </c>
      <c r="L62" s="164">
        <f t="shared" si="0"/>
        <v>-50.616500000000002</v>
      </c>
      <c r="M62" s="164">
        <f t="shared" si="1"/>
        <v>-40.284814710465696</v>
      </c>
      <c r="N62" s="163">
        <v>77.164199999999994</v>
      </c>
      <c r="O62" s="163">
        <v>120.5441</v>
      </c>
      <c r="P62" s="165">
        <f t="shared" si="2"/>
        <v>-43.379900000000006</v>
      </c>
      <c r="Q62" s="166">
        <f t="shared" si="3"/>
        <v>-35.986746759069916</v>
      </c>
      <c r="R62" s="140"/>
      <c r="S62" s="141"/>
    </row>
    <row r="63" spans="1:19" ht="82.8" x14ac:dyDescent="0.25">
      <c r="A63" s="142" t="s">
        <v>273</v>
      </c>
      <c r="B63" s="143" t="s">
        <v>274</v>
      </c>
      <c r="C63" s="144">
        <f>SUM(C64:C68)</f>
        <v>984.41959999999995</v>
      </c>
      <c r="D63" s="144">
        <f t="shared" ref="D63:G63" si="20">SUM(D64:D68)</f>
        <v>763.40359999999998</v>
      </c>
      <c r="E63" s="144">
        <f t="shared" si="20"/>
        <v>636.13679999999988</v>
      </c>
      <c r="F63" s="145">
        <f t="shared" si="20"/>
        <v>446.50320000000005</v>
      </c>
      <c r="G63" s="145">
        <f t="shared" si="20"/>
        <v>446.50320000000005</v>
      </c>
      <c r="H63" s="146">
        <f t="shared" si="4"/>
        <v>0</v>
      </c>
      <c r="I63" s="146">
        <f t="shared" si="5"/>
        <v>0</v>
      </c>
      <c r="J63" s="145">
        <f t="shared" ref="J63" si="21">SUM(J64:J68)</f>
        <v>471.00020000000006</v>
      </c>
      <c r="K63" s="145">
        <f>SUM(K64:K68)</f>
        <v>2350.7205000000004</v>
      </c>
      <c r="L63" s="146">
        <f t="shared" si="0"/>
        <v>-1879.7203000000004</v>
      </c>
      <c r="M63" s="146">
        <f t="shared" si="1"/>
        <v>-79.96358137856032</v>
      </c>
      <c r="N63" s="145">
        <f t="shared" ref="N63" si="22">SUM(N64:N68)</f>
        <v>530.09939999999995</v>
      </c>
      <c r="O63" s="145">
        <f>SUM(O64:O68)</f>
        <v>2514.1511</v>
      </c>
      <c r="P63" s="147">
        <f t="shared" si="2"/>
        <v>-1984.0517</v>
      </c>
      <c r="Q63" s="148">
        <f t="shared" si="3"/>
        <v>-78.91537227018695</v>
      </c>
      <c r="R63" s="149">
        <f>K63+202.7821</f>
        <v>2553.5026000000003</v>
      </c>
      <c r="S63" s="150">
        <f>O63+4.758</f>
        <v>2518.9090999999999</v>
      </c>
    </row>
    <row r="64" spans="1:19" ht="27.6" x14ac:dyDescent="0.25">
      <c r="A64" s="151" t="s">
        <v>275</v>
      </c>
      <c r="B64" s="152" t="s">
        <v>276</v>
      </c>
      <c r="C64" s="153">
        <v>866.0104</v>
      </c>
      <c r="D64" s="153">
        <v>602.53539999999998</v>
      </c>
      <c r="E64" s="153">
        <v>502.53429999999997</v>
      </c>
      <c r="F64" s="154">
        <v>329.94450000000001</v>
      </c>
      <c r="G64" s="155">
        <v>329.94450000000001</v>
      </c>
      <c r="H64" s="156">
        <f t="shared" si="4"/>
        <v>0</v>
      </c>
      <c r="I64" s="156">
        <f t="shared" si="5"/>
        <v>0</v>
      </c>
      <c r="J64" s="155">
        <v>358.33960000000002</v>
      </c>
      <c r="K64" s="155">
        <v>2175.9893000000002</v>
      </c>
      <c r="L64" s="156">
        <f t="shared" si="0"/>
        <v>-1817.6497000000002</v>
      </c>
      <c r="M64" s="156">
        <f t="shared" si="1"/>
        <v>-83.532106522766455</v>
      </c>
      <c r="N64" s="155">
        <v>415.5163</v>
      </c>
      <c r="O64" s="155">
        <v>2329.2069999999999</v>
      </c>
      <c r="P64" s="157">
        <f t="shared" si="2"/>
        <v>-1913.6906999999999</v>
      </c>
      <c r="Q64" s="158">
        <f t="shared" si="3"/>
        <v>-82.160610886022582</v>
      </c>
      <c r="R64" s="140"/>
      <c r="S64" s="141"/>
    </row>
    <row r="65" spans="1:20" ht="27.6" x14ac:dyDescent="0.25">
      <c r="A65" s="151" t="s">
        <v>277</v>
      </c>
      <c r="B65" s="152" t="s">
        <v>278</v>
      </c>
      <c r="C65" s="153">
        <v>47.276200000000003</v>
      </c>
      <c r="D65" s="153">
        <v>63.624000000000002</v>
      </c>
      <c r="E65" s="153">
        <v>55.242699999999999</v>
      </c>
      <c r="F65" s="154">
        <v>71.417500000000004</v>
      </c>
      <c r="G65" s="155">
        <v>71.417500000000004</v>
      </c>
      <c r="H65" s="156">
        <f t="shared" si="4"/>
        <v>0</v>
      </c>
      <c r="I65" s="156">
        <f t="shared" si="5"/>
        <v>0</v>
      </c>
      <c r="J65" s="155">
        <v>56.875799999999998</v>
      </c>
      <c r="K65" s="155">
        <v>92.385999999999996</v>
      </c>
      <c r="L65" s="156">
        <f t="shared" si="0"/>
        <v>-35.510199999999998</v>
      </c>
      <c r="M65" s="156">
        <f t="shared" si="1"/>
        <v>-38.436776134912222</v>
      </c>
      <c r="N65" s="155">
        <v>57.837000000000003</v>
      </c>
      <c r="O65" s="155">
        <v>95.97</v>
      </c>
      <c r="P65" s="157">
        <f t="shared" si="2"/>
        <v>-38.132999999999996</v>
      </c>
      <c r="Q65" s="158">
        <f t="shared" si="3"/>
        <v>-39.734291966239446</v>
      </c>
      <c r="R65" s="140"/>
      <c r="S65" s="141"/>
    </row>
    <row r="66" spans="1:20" ht="55.2" x14ac:dyDescent="0.25">
      <c r="A66" s="151" t="s">
        <v>279</v>
      </c>
      <c r="B66" s="152" t="s">
        <v>280</v>
      </c>
      <c r="C66" s="153">
        <v>26.403600000000001</v>
      </c>
      <c r="D66" s="153">
        <v>34.715499999999999</v>
      </c>
      <c r="E66" s="153">
        <v>46.735500000000002</v>
      </c>
      <c r="F66" s="154">
        <v>29.545400000000001</v>
      </c>
      <c r="G66" s="155">
        <v>29.545400000000001</v>
      </c>
      <c r="H66" s="156">
        <f t="shared" si="4"/>
        <v>0</v>
      </c>
      <c r="I66" s="156">
        <f t="shared" si="5"/>
        <v>0</v>
      </c>
      <c r="J66" s="155">
        <v>40.475900000000003</v>
      </c>
      <c r="K66" s="155">
        <v>44.9</v>
      </c>
      <c r="L66" s="156">
        <f t="shared" si="0"/>
        <v>-4.4240999999999957</v>
      </c>
      <c r="M66" s="156">
        <f t="shared" si="1"/>
        <v>-9.8532293986636859</v>
      </c>
      <c r="N66" s="155">
        <v>41.437199999999997</v>
      </c>
      <c r="O66" s="155">
        <v>49.55</v>
      </c>
      <c r="P66" s="157">
        <f t="shared" si="2"/>
        <v>-8.1128</v>
      </c>
      <c r="Q66" s="158">
        <f t="shared" si="3"/>
        <v>-16.372956609485371</v>
      </c>
      <c r="R66" s="140"/>
      <c r="S66" s="141"/>
    </row>
    <row r="67" spans="1:20" ht="41.4" x14ac:dyDescent="0.25">
      <c r="A67" s="175" t="s">
        <v>281</v>
      </c>
      <c r="B67" s="152"/>
      <c r="C67" s="153">
        <v>18.808599999999998</v>
      </c>
      <c r="D67" s="153">
        <v>34.636299999999999</v>
      </c>
      <c r="E67" s="153"/>
      <c r="F67" s="154">
        <v>0</v>
      </c>
      <c r="G67" s="155">
        <v>0</v>
      </c>
      <c r="H67" s="156">
        <f t="shared" si="4"/>
        <v>0</v>
      </c>
      <c r="I67" s="156">
        <v>0</v>
      </c>
      <c r="J67" s="155">
        <v>0</v>
      </c>
      <c r="K67" s="155">
        <v>0.8</v>
      </c>
      <c r="L67" s="156">
        <f t="shared" si="0"/>
        <v>-0.8</v>
      </c>
      <c r="M67" s="156">
        <f t="shared" si="1"/>
        <v>-100</v>
      </c>
      <c r="N67" s="155">
        <v>15.3089</v>
      </c>
      <c r="O67" s="155">
        <v>0.8</v>
      </c>
      <c r="P67" s="157">
        <f t="shared" si="2"/>
        <v>14.508899999999999</v>
      </c>
      <c r="Q67" s="158">
        <f t="shared" si="3"/>
        <v>1813.6125</v>
      </c>
      <c r="R67" s="176"/>
      <c r="S67" s="177"/>
      <c r="T67" s="178"/>
    </row>
    <row r="68" spans="1:20" ht="27.6" x14ac:dyDescent="0.25">
      <c r="A68" s="159" t="s">
        <v>227</v>
      </c>
      <c r="B68" s="160" t="s">
        <v>282</v>
      </c>
      <c r="C68" s="161">
        <v>25.9208</v>
      </c>
      <c r="D68" s="161">
        <v>27.892399999999999</v>
      </c>
      <c r="E68" s="161">
        <v>31.624300000000002</v>
      </c>
      <c r="F68" s="162">
        <v>15.595800000000001</v>
      </c>
      <c r="G68" s="163">
        <v>15.595800000000001</v>
      </c>
      <c r="H68" s="164">
        <f t="shared" si="4"/>
        <v>0</v>
      </c>
      <c r="I68" s="164">
        <f t="shared" si="5"/>
        <v>0</v>
      </c>
      <c r="J68" s="163">
        <v>15.3089</v>
      </c>
      <c r="K68" s="163">
        <v>36.645200000000003</v>
      </c>
      <c r="L68" s="164">
        <f t="shared" si="0"/>
        <v>-21.336300000000001</v>
      </c>
      <c r="M68" s="164">
        <f t="shared" si="1"/>
        <v>-58.223996594369801</v>
      </c>
      <c r="N68" s="163">
        <v>0</v>
      </c>
      <c r="O68" s="163">
        <v>38.624099999999999</v>
      </c>
      <c r="P68" s="165">
        <f t="shared" si="2"/>
        <v>-38.624099999999999</v>
      </c>
      <c r="Q68" s="166">
        <f t="shared" si="3"/>
        <v>-100</v>
      </c>
      <c r="R68" s="140"/>
      <c r="S68" s="141"/>
    </row>
    <row r="69" spans="1:20" ht="55.2" x14ac:dyDescent="0.25">
      <c r="A69" s="142" t="s">
        <v>283</v>
      </c>
      <c r="B69" s="143" t="s">
        <v>284</v>
      </c>
      <c r="C69" s="144">
        <f>C70+C71+C72+C73+C74+C75</f>
        <v>432.7937</v>
      </c>
      <c r="D69" s="144">
        <f t="shared" ref="D69:G69" si="23">D70+D71+D72+D73+D74+D75</f>
        <v>457.29500000000007</v>
      </c>
      <c r="E69" s="144">
        <f t="shared" si="23"/>
        <v>222.2149</v>
      </c>
      <c r="F69" s="145">
        <f t="shared" si="23"/>
        <v>254.15860000000001</v>
      </c>
      <c r="G69" s="145">
        <f t="shared" si="23"/>
        <v>254.15860000000001</v>
      </c>
      <c r="H69" s="146">
        <f t="shared" si="4"/>
        <v>0</v>
      </c>
      <c r="I69" s="146">
        <f t="shared" si="5"/>
        <v>0</v>
      </c>
      <c r="J69" s="145">
        <f t="shared" ref="J69:K69" si="24">J70+J71+J72+J73+J74+J75</f>
        <v>211.7355</v>
      </c>
      <c r="K69" s="145">
        <f t="shared" si="24"/>
        <v>420.54040000000003</v>
      </c>
      <c r="L69" s="146">
        <f t="shared" si="0"/>
        <v>-208.80490000000003</v>
      </c>
      <c r="M69" s="146">
        <f t="shared" si="1"/>
        <v>-49.651567364277014</v>
      </c>
      <c r="N69" s="145">
        <f t="shared" ref="N69:O69" si="25">N70+N71+N72+N73+N74+N75</f>
        <v>212.6626</v>
      </c>
      <c r="O69" s="145">
        <f t="shared" si="25"/>
        <v>445.45960000000002</v>
      </c>
      <c r="P69" s="147">
        <f t="shared" si="2"/>
        <v>-232.79700000000003</v>
      </c>
      <c r="Q69" s="148">
        <f t="shared" si="3"/>
        <v>-52.259958029863988</v>
      </c>
      <c r="R69" s="149">
        <f>K69+251.4124</f>
        <v>671.95280000000002</v>
      </c>
      <c r="S69" s="150">
        <f>O69+271.5236</f>
        <v>716.98320000000001</v>
      </c>
    </row>
    <row r="70" spans="1:20" ht="41.4" x14ac:dyDescent="0.25">
      <c r="A70" s="151" t="s">
        <v>285</v>
      </c>
      <c r="B70" s="152" t="s">
        <v>286</v>
      </c>
      <c r="C70" s="153">
        <v>71.180999999999997</v>
      </c>
      <c r="D70" s="153">
        <v>106.9837</v>
      </c>
      <c r="E70" s="153">
        <v>11.6075</v>
      </c>
      <c r="F70" s="154">
        <v>2.2000000000000002</v>
      </c>
      <c r="G70" s="155">
        <v>2.2000000000000002</v>
      </c>
      <c r="H70" s="156">
        <f t="shared" si="4"/>
        <v>0</v>
      </c>
      <c r="I70" s="156">
        <f t="shared" si="5"/>
        <v>0</v>
      </c>
      <c r="J70" s="155">
        <v>2.2000000000000002</v>
      </c>
      <c r="K70" s="155">
        <v>105.49</v>
      </c>
      <c r="L70" s="156">
        <f t="shared" si="0"/>
        <v>-103.28999999999999</v>
      </c>
      <c r="M70" s="156">
        <f t="shared" si="1"/>
        <v>-97.914494264859229</v>
      </c>
      <c r="N70" s="155">
        <v>2.2000000000000002</v>
      </c>
      <c r="O70" s="155">
        <v>115.16</v>
      </c>
      <c r="P70" s="157">
        <f t="shared" si="2"/>
        <v>-112.96</v>
      </c>
      <c r="Q70" s="158">
        <f t="shared" si="3"/>
        <v>-98.089614449461621</v>
      </c>
      <c r="R70" s="140"/>
      <c r="S70" s="141"/>
    </row>
    <row r="71" spans="1:20" ht="41.4" x14ac:dyDescent="0.25">
      <c r="A71" s="151" t="s">
        <v>287</v>
      </c>
      <c r="B71" s="152" t="s">
        <v>288</v>
      </c>
      <c r="C71" s="153">
        <v>215.65100000000001</v>
      </c>
      <c r="D71" s="153">
        <v>185.26849999999999</v>
      </c>
      <c r="E71" s="153">
        <v>48.843200000000003</v>
      </c>
      <c r="F71" s="154">
        <v>29.795999999999999</v>
      </c>
      <c r="G71" s="155">
        <v>29.795999999999999</v>
      </c>
      <c r="H71" s="156">
        <f t="shared" si="4"/>
        <v>0</v>
      </c>
      <c r="I71" s="156">
        <f t="shared" si="5"/>
        <v>0</v>
      </c>
      <c r="J71" s="155">
        <v>46.8215</v>
      </c>
      <c r="K71" s="155">
        <v>84.351699999999994</v>
      </c>
      <c r="L71" s="156">
        <f t="shared" si="0"/>
        <v>-37.530199999999994</v>
      </c>
      <c r="M71" s="156">
        <f t="shared" si="1"/>
        <v>-44.492523565025955</v>
      </c>
      <c r="N71" s="155">
        <v>45.8215</v>
      </c>
      <c r="O71" s="155">
        <v>91.113299999999995</v>
      </c>
      <c r="P71" s="157">
        <f t="shared" si="2"/>
        <v>-45.291799999999995</v>
      </c>
      <c r="Q71" s="158">
        <f t="shared" si="3"/>
        <v>-49.709317959068542</v>
      </c>
      <c r="R71" s="140"/>
      <c r="S71" s="141"/>
    </row>
    <row r="72" spans="1:20" ht="41.4" x14ac:dyDescent="0.25">
      <c r="A72" s="151" t="s">
        <v>289</v>
      </c>
      <c r="B72" s="152" t="s">
        <v>290</v>
      </c>
      <c r="C72" s="153">
        <v>48.4878</v>
      </c>
      <c r="D72" s="153">
        <v>57.347700000000003</v>
      </c>
      <c r="E72" s="153">
        <v>56.264899999999997</v>
      </c>
      <c r="F72" s="154">
        <v>91.585700000000003</v>
      </c>
      <c r="G72" s="155">
        <v>91.585700000000003</v>
      </c>
      <c r="H72" s="156">
        <f t="shared" si="4"/>
        <v>0</v>
      </c>
      <c r="I72" s="156">
        <f t="shared" si="5"/>
        <v>0</v>
      </c>
      <c r="J72" s="155">
        <v>59.642400000000002</v>
      </c>
      <c r="K72" s="155">
        <v>72.319100000000006</v>
      </c>
      <c r="L72" s="156">
        <f t="shared" si="0"/>
        <v>-12.676700000000004</v>
      </c>
      <c r="M72" s="156">
        <f t="shared" si="1"/>
        <v>-17.528840928606698</v>
      </c>
      <c r="N72" s="155">
        <v>59.6967</v>
      </c>
      <c r="O72" s="155">
        <v>72.319100000000006</v>
      </c>
      <c r="P72" s="157">
        <f t="shared" si="2"/>
        <v>-12.622400000000006</v>
      </c>
      <c r="Q72" s="158">
        <f t="shared" si="3"/>
        <v>-17.453757029609065</v>
      </c>
      <c r="R72" s="140"/>
      <c r="S72" s="141"/>
    </row>
    <row r="73" spans="1:20" ht="41.4" x14ac:dyDescent="0.25">
      <c r="A73" s="151" t="s">
        <v>291</v>
      </c>
      <c r="B73" s="152" t="s">
        <v>292</v>
      </c>
      <c r="C73" s="153">
        <v>45.968299999999999</v>
      </c>
      <c r="D73" s="153">
        <v>58.924599999999998</v>
      </c>
      <c r="E73" s="153">
        <v>57.519100000000002</v>
      </c>
      <c r="F73" s="154">
        <v>77.075400000000002</v>
      </c>
      <c r="G73" s="155">
        <v>77.075400000000002</v>
      </c>
      <c r="H73" s="156">
        <f t="shared" si="4"/>
        <v>0</v>
      </c>
      <c r="I73" s="156">
        <f t="shared" si="5"/>
        <v>0</v>
      </c>
      <c r="J73" s="155">
        <v>52.438299999999998</v>
      </c>
      <c r="K73" s="155">
        <v>79.382199999999997</v>
      </c>
      <c r="L73" s="156">
        <f t="shared" si="0"/>
        <v>-26.943899999999999</v>
      </c>
      <c r="M73" s="156">
        <f t="shared" si="1"/>
        <v>-33.941992033478542</v>
      </c>
      <c r="N73" s="155">
        <v>53.311100000000003</v>
      </c>
      <c r="O73" s="155">
        <v>79.382199999999997</v>
      </c>
      <c r="P73" s="157">
        <f t="shared" si="2"/>
        <v>-26.071099999999994</v>
      </c>
      <c r="Q73" s="158">
        <f t="shared" si="3"/>
        <v>-32.842501215637753</v>
      </c>
      <c r="R73" s="140"/>
      <c r="S73" s="141"/>
    </row>
    <row r="74" spans="1:20" ht="55.2" x14ac:dyDescent="0.25">
      <c r="A74" s="151" t="s">
        <v>293</v>
      </c>
      <c r="B74" s="152" t="s">
        <v>294</v>
      </c>
      <c r="C74" s="153">
        <v>51.505600000000001</v>
      </c>
      <c r="D74" s="153">
        <v>48.770499999999998</v>
      </c>
      <c r="E74" s="153">
        <v>47.980200000000004</v>
      </c>
      <c r="F74" s="154">
        <v>42.5015</v>
      </c>
      <c r="G74" s="155">
        <v>42.5015</v>
      </c>
      <c r="H74" s="156">
        <f t="shared" ref="H74:H110" si="26">F74-G74</f>
        <v>0</v>
      </c>
      <c r="I74" s="156">
        <f t="shared" ref="I74:I111" si="27">F74/G74*100-100</f>
        <v>0</v>
      </c>
      <c r="J74" s="155">
        <v>42.165300000000002</v>
      </c>
      <c r="K74" s="155">
        <v>70.529399999999995</v>
      </c>
      <c r="L74" s="156">
        <f t="shared" ref="L74:L110" si="28">J74-K74</f>
        <v>-28.364099999999993</v>
      </c>
      <c r="M74" s="156">
        <f t="shared" ref="M74:M110" si="29">J74/K74*100-100</f>
        <v>-40.215995031859052</v>
      </c>
      <c r="N74" s="155">
        <v>42.165300000000002</v>
      </c>
      <c r="O74" s="155">
        <v>78.016999999999996</v>
      </c>
      <c r="P74" s="157">
        <f t="shared" ref="P74:P110" si="30">N74-O74</f>
        <v>-35.851699999999994</v>
      </c>
      <c r="Q74" s="158">
        <f t="shared" ref="Q74:Q111" si="31">N74/O74*100-100</f>
        <v>-45.953702398195261</v>
      </c>
      <c r="R74" s="140"/>
      <c r="S74" s="141"/>
    </row>
    <row r="75" spans="1:20" ht="27.6" x14ac:dyDescent="0.25">
      <c r="A75" s="159" t="s">
        <v>295</v>
      </c>
      <c r="B75" s="160" t="s">
        <v>296</v>
      </c>
      <c r="C75" s="161"/>
      <c r="D75" s="161"/>
      <c r="E75" s="161"/>
      <c r="F75" s="162">
        <v>11</v>
      </c>
      <c r="G75" s="163">
        <v>11</v>
      </c>
      <c r="H75" s="164">
        <f t="shared" si="26"/>
        <v>0</v>
      </c>
      <c r="I75" s="164">
        <f t="shared" si="27"/>
        <v>0</v>
      </c>
      <c r="J75" s="163">
        <v>8.468</v>
      </c>
      <c r="K75" s="163">
        <v>8.468</v>
      </c>
      <c r="L75" s="164">
        <f t="shared" si="28"/>
        <v>0</v>
      </c>
      <c r="M75" s="164">
        <f t="shared" si="29"/>
        <v>0</v>
      </c>
      <c r="N75" s="163">
        <v>9.468</v>
      </c>
      <c r="O75" s="163">
        <v>9.468</v>
      </c>
      <c r="P75" s="165">
        <f t="shared" si="30"/>
        <v>0</v>
      </c>
      <c r="Q75" s="166">
        <f t="shared" si="31"/>
        <v>0</v>
      </c>
      <c r="R75" s="140"/>
      <c r="S75" s="141"/>
    </row>
    <row r="76" spans="1:20" ht="41.4" x14ac:dyDescent="0.25">
      <c r="A76" s="167" t="s">
        <v>297</v>
      </c>
      <c r="B76" s="168" t="s">
        <v>298</v>
      </c>
      <c r="C76" s="169">
        <v>2.6831999999999998</v>
      </c>
      <c r="D76" s="169">
        <v>2.6576</v>
      </c>
      <c r="E76" s="169">
        <v>3.1190000000000002</v>
      </c>
      <c r="F76" s="170">
        <v>1.494</v>
      </c>
      <c r="G76" s="170">
        <v>1.494</v>
      </c>
      <c r="H76" s="171">
        <f t="shared" si="26"/>
        <v>0</v>
      </c>
      <c r="I76" s="171">
        <f t="shared" si="27"/>
        <v>0</v>
      </c>
      <c r="J76" s="170">
        <v>3.4940000000000002</v>
      </c>
      <c r="K76" s="170">
        <v>3.4940000000000002</v>
      </c>
      <c r="L76" s="171">
        <f t="shared" si="28"/>
        <v>0</v>
      </c>
      <c r="M76" s="171">
        <f t="shared" si="29"/>
        <v>0</v>
      </c>
      <c r="N76" s="170">
        <v>3.4940000000000002</v>
      </c>
      <c r="O76" s="170">
        <v>3.4940000000000002</v>
      </c>
      <c r="P76" s="172">
        <f t="shared" si="30"/>
        <v>0</v>
      </c>
      <c r="Q76" s="173">
        <f t="shared" si="31"/>
        <v>0</v>
      </c>
      <c r="R76" s="149">
        <f>K76</f>
        <v>3.4940000000000002</v>
      </c>
      <c r="S76" s="150">
        <f>O76</f>
        <v>3.4940000000000002</v>
      </c>
    </row>
    <row r="77" spans="1:20" ht="41.4" x14ac:dyDescent="0.25">
      <c r="A77" s="142" t="s">
        <v>299</v>
      </c>
      <c r="B77" s="143" t="s">
        <v>300</v>
      </c>
      <c r="C77" s="144">
        <f>C78+C79+C80+C81</f>
        <v>898.46069999999997</v>
      </c>
      <c r="D77" s="144">
        <f t="shared" ref="D77:G77" si="32">D78+D79+D80+D81</f>
        <v>894.75549999999998</v>
      </c>
      <c r="E77" s="144">
        <f t="shared" si="32"/>
        <v>1835.5234</v>
      </c>
      <c r="F77" s="145">
        <f t="shared" si="32"/>
        <v>327.69</v>
      </c>
      <c r="G77" s="145">
        <f t="shared" si="32"/>
        <v>327.66769999999997</v>
      </c>
      <c r="H77" s="146">
        <f t="shared" si="26"/>
        <v>2.230000000002974E-2</v>
      </c>
      <c r="I77" s="146">
        <f t="shared" si="27"/>
        <v>6.8056753839300654E-3</v>
      </c>
      <c r="J77" s="145">
        <f t="shared" ref="J77:K77" si="33">J78+J79+J80+J81</f>
        <v>312.41669999999999</v>
      </c>
      <c r="K77" s="145">
        <f t="shared" si="33"/>
        <v>312.41669999999999</v>
      </c>
      <c r="L77" s="146">
        <f t="shared" si="28"/>
        <v>0</v>
      </c>
      <c r="M77" s="146">
        <f t="shared" si="29"/>
        <v>0</v>
      </c>
      <c r="N77" s="145">
        <f t="shared" ref="N77:O77" si="34">N78+N79+N80+N81</f>
        <v>362.3202</v>
      </c>
      <c r="O77" s="145">
        <f t="shared" si="34"/>
        <v>362.3202</v>
      </c>
      <c r="P77" s="147">
        <f t="shared" si="30"/>
        <v>0</v>
      </c>
      <c r="Q77" s="148">
        <f t="shared" si="31"/>
        <v>0</v>
      </c>
      <c r="R77" s="149">
        <f>K77+541.0829</f>
        <v>853.49959999999999</v>
      </c>
      <c r="S77" s="150">
        <f>O77+550.8173</f>
        <v>913.13750000000005</v>
      </c>
    </row>
    <row r="78" spans="1:20" ht="27.6" x14ac:dyDescent="0.25">
      <c r="A78" s="151" t="s">
        <v>301</v>
      </c>
      <c r="B78" s="152" t="s">
        <v>302</v>
      </c>
      <c r="C78" s="153">
        <v>82.896199999999993</v>
      </c>
      <c r="D78" s="153">
        <v>80.765299999999996</v>
      </c>
      <c r="E78" s="153">
        <v>1003.171</v>
      </c>
      <c r="F78" s="154">
        <v>19.600000000000001</v>
      </c>
      <c r="G78" s="155">
        <v>19.600000000000001</v>
      </c>
      <c r="H78" s="156">
        <f t="shared" si="26"/>
        <v>0</v>
      </c>
      <c r="I78" s="156">
        <f t="shared" si="27"/>
        <v>0</v>
      </c>
      <c r="J78" s="155">
        <v>0.5</v>
      </c>
      <c r="K78" s="155">
        <v>0.5</v>
      </c>
      <c r="L78" s="156">
        <f t="shared" si="28"/>
        <v>0</v>
      </c>
      <c r="M78" s="156">
        <f t="shared" si="29"/>
        <v>0</v>
      </c>
      <c r="N78" s="155">
        <v>0.5</v>
      </c>
      <c r="O78" s="155">
        <v>0.5</v>
      </c>
      <c r="P78" s="157">
        <f t="shared" si="30"/>
        <v>0</v>
      </c>
      <c r="Q78" s="158">
        <f t="shared" si="31"/>
        <v>0</v>
      </c>
      <c r="R78" s="140"/>
      <c r="S78" s="141"/>
    </row>
    <row r="79" spans="1:20" ht="13.8" hidden="1" customHeight="1" x14ac:dyDescent="0.25">
      <c r="A79" s="151" t="s">
        <v>303</v>
      </c>
      <c r="B79" s="152" t="s">
        <v>304</v>
      </c>
      <c r="C79" s="153">
        <v>18.754899999999999</v>
      </c>
      <c r="D79" s="153">
        <v>26.574300000000001</v>
      </c>
      <c r="E79" s="153">
        <v>23.965399999999999</v>
      </c>
      <c r="F79" s="154"/>
      <c r="G79" s="155"/>
      <c r="H79" s="156">
        <f t="shared" si="26"/>
        <v>0</v>
      </c>
      <c r="I79" s="156" t="e">
        <f t="shared" si="27"/>
        <v>#DIV/0!</v>
      </c>
      <c r="J79" s="155">
        <v>0</v>
      </c>
      <c r="K79" s="155">
        <v>0</v>
      </c>
      <c r="L79" s="156">
        <f t="shared" si="28"/>
        <v>0</v>
      </c>
      <c r="M79" s="156">
        <v>0</v>
      </c>
      <c r="N79" s="155">
        <v>0</v>
      </c>
      <c r="O79" s="155">
        <v>0</v>
      </c>
      <c r="P79" s="157">
        <f t="shared" si="30"/>
        <v>0</v>
      </c>
      <c r="Q79" s="158">
        <v>0</v>
      </c>
      <c r="R79" s="140"/>
      <c r="S79" s="141"/>
    </row>
    <row r="80" spans="1:20" x14ac:dyDescent="0.25">
      <c r="A80" s="151" t="s">
        <v>305</v>
      </c>
      <c r="B80" s="152" t="s">
        <v>306</v>
      </c>
      <c r="C80" s="153">
        <v>294.12709999999998</v>
      </c>
      <c r="D80" s="153">
        <v>231.69450000000001</v>
      </c>
      <c r="E80" s="153">
        <v>249.39</v>
      </c>
      <c r="F80" s="154">
        <v>160.5</v>
      </c>
      <c r="G80" s="155">
        <v>160.4777</v>
      </c>
      <c r="H80" s="156">
        <f t="shared" si="26"/>
        <v>2.2300000000001319E-2</v>
      </c>
      <c r="I80" s="156">
        <f t="shared" si="27"/>
        <v>1.3896011720021306E-2</v>
      </c>
      <c r="J80" s="155">
        <v>140.7627</v>
      </c>
      <c r="K80" s="155">
        <v>140.7627</v>
      </c>
      <c r="L80" s="156">
        <f t="shared" si="28"/>
        <v>0</v>
      </c>
      <c r="M80" s="156">
        <f t="shared" si="29"/>
        <v>0</v>
      </c>
      <c r="N80" s="155">
        <v>167.93180000000001</v>
      </c>
      <c r="O80" s="155">
        <v>167.93180000000001</v>
      </c>
      <c r="P80" s="157">
        <f t="shared" si="30"/>
        <v>0</v>
      </c>
      <c r="Q80" s="158">
        <f t="shared" si="31"/>
        <v>0</v>
      </c>
      <c r="R80" s="140"/>
      <c r="S80" s="141"/>
    </row>
    <row r="81" spans="1:19" ht="55.2" x14ac:dyDescent="0.25">
      <c r="A81" s="159" t="s">
        <v>307</v>
      </c>
      <c r="B81" s="160" t="s">
        <v>308</v>
      </c>
      <c r="C81" s="161">
        <v>502.6825</v>
      </c>
      <c r="D81" s="161">
        <v>555.72140000000002</v>
      </c>
      <c r="E81" s="161">
        <v>558.99699999999996</v>
      </c>
      <c r="F81" s="162">
        <v>147.59</v>
      </c>
      <c r="G81" s="163">
        <v>147.59</v>
      </c>
      <c r="H81" s="164">
        <f t="shared" si="26"/>
        <v>0</v>
      </c>
      <c r="I81" s="164">
        <f t="shared" si="27"/>
        <v>0</v>
      </c>
      <c r="J81" s="163">
        <v>171.154</v>
      </c>
      <c r="K81" s="163">
        <v>171.154</v>
      </c>
      <c r="L81" s="164">
        <f t="shared" si="28"/>
        <v>0</v>
      </c>
      <c r="M81" s="164">
        <f t="shared" si="29"/>
        <v>0</v>
      </c>
      <c r="N81" s="163">
        <v>193.88839999999999</v>
      </c>
      <c r="O81" s="163">
        <v>193.88839999999999</v>
      </c>
      <c r="P81" s="165">
        <f t="shared" si="30"/>
        <v>0</v>
      </c>
      <c r="Q81" s="166">
        <f t="shared" si="31"/>
        <v>0</v>
      </c>
      <c r="R81" s="140"/>
      <c r="S81" s="141"/>
    </row>
    <row r="82" spans="1:19" ht="55.2" x14ac:dyDescent="0.25">
      <c r="A82" s="142" t="s">
        <v>309</v>
      </c>
      <c r="B82" s="143" t="s">
        <v>310</v>
      </c>
      <c r="C82" s="144">
        <f>SUM(C83:C84)</f>
        <v>3153.0568999999996</v>
      </c>
      <c r="D82" s="144">
        <f>SUM(D83:D84)</f>
        <v>3053.2147999999997</v>
      </c>
      <c r="E82" s="144">
        <f>SUM(E83:E84)</f>
        <v>3327.645</v>
      </c>
      <c r="F82" s="145">
        <f>SUM(F83:F84)</f>
        <v>3118.6017000000002</v>
      </c>
      <c r="G82" s="145">
        <f>SUM(G83:G84)</f>
        <v>3118.6017000000002</v>
      </c>
      <c r="H82" s="146">
        <f t="shared" si="26"/>
        <v>0</v>
      </c>
      <c r="I82" s="146">
        <f t="shared" si="27"/>
        <v>0</v>
      </c>
      <c r="J82" s="145">
        <f>SUM(J83:J84)</f>
        <v>3399.0898999999999</v>
      </c>
      <c r="K82" s="145">
        <f>SUM(K83:K84)</f>
        <v>3399.0898999999999</v>
      </c>
      <c r="L82" s="146">
        <f t="shared" si="28"/>
        <v>0</v>
      </c>
      <c r="M82" s="146">
        <f t="shared" si="29"/>
        <v>0</v>
      </c>
      <c r="N82" s="145">
        <f>SUM(N83:N84)</f>
        <v>3321.1807000000003</v>
      </c>
      <c r="O82" s="145">
        <f>SUM(O83:O84)</f>
        <v>3321.1807000000003</v>
      </c>
      <c r="P82" s="147">
        <f t="shared" si="30"/>
        <v>0</v>
      </c>
      <c r="Q82" s="148">
        <f t="shared" si="31"/>
        <v>0</v>
      </c>
      <c r="R82" s="149">
        <f>K82</f>
        <v>3399.0898999999999</v>
      </c>
      <c r="S82" s="150">
        <f>O82</f>
        <v>3321.1807000000003</v>
      </c>
    </row>
    <row r="83" spans="1:19" ht="41.4" x14ac:dyDescent="0.25">
      <c r="A83" s="151" t="s">
        <v>311</v>
      </c>
      <c r="B83" s="152" t="s">
        <v>312</v>
      </c>
      <c r="C83" s="153">
        <v>353.71460000000002</v>
      </c>
      <c r="D83" s="153">
        <v>186.55500000000001</v>
      </c>
      <c r="E83" s="153">
        <v>132.53749999999999</v>
      </c>
      <c r="F83" s="154">
        <v>0.9</v>
      </c>
      <c r="G83" s="155">
        <v>0.9</v>
      </c>
      <c r="H83" s="156">
        <f t="shared" si="26"/>
        <v>0</v>
      </c>
      <c r="I83" s="156">
        <f t="shared" si="27"/>
        <v>0</v>
      </c>
      <c r="J83" s="155">
        <v>149.7105</v>
      </c>
      <c r="K83" s="155">
        <v>149.7105</v>
      </c>
      <c r="L83" s="156">
        <f t="shared" si="28"/>
        <v>0</v>
      </c>
      <c r="M83" s="156">
        <f t="shared" si="29"/>
        <v>0</v>
      </c>
      <c r="N83" s="155">
        <v>149.7105</v>
      </c>
      <c r="O83" s="155">
        <v>149.7105</v>
      </c>
      <c r="P83" s="157">
        <f t="shared" si="30"/>
        <v>0</v>
      </c>
      <c r="Q83" s="158">
        <f t="shared" si="31"/>
        <v>0</v>
      </c>
      <c r="R83" s="140"/>
      <c r="S83" s="141"/>
    </row>
    <row r="84" spans="1:19" ht="55.2" x14ac:dyDescent="0.25">
      <c r="A84" s="159" t="s">
        <v>313</v>
      </c>
      <c r="B84" s="160" t="s">
        <v>314</v>
      </c>
      <c r="C84" s="161">
        <v>2799.3422999999998</v>
      </c>
      <c r="D84" s="161">
        <v>2866.6597999999999</v>
      </c>
      <c r="E84" s="161">
        <v>3195.1075000000001</v>
      </c>
      <c r="F84" s="162">
        <v>3117.7017000000001</v>
      </c>
      <c r="G84" s="163">
        <v>3117.7017000000001</v>
      </c>
      <c r="H84" s="164">
        <f t="shared" si="26"/>
        <v>0</v>
      </c>
      <c r="I84" s="164">
        <f t="shared" si="27"/>
        <v>0</v>
      </c>
      <c r="J84" s="163">
        <v>3249.3793999999998</v>
      </c>
      <c r="K84" s="163">
        <v>3249.3793999999998</v>
      </c>
      <c r="L84" s="164">
        <f t="shared" si="28"/>
        <v>0</v>
      </c>
      <c r="M84" s="164">
        <f t="shared" si="29"/>
        <v>0</v>
      </c>
      <c r="N84" s="163">
        <v>3171.4702000000002</v>
      </c>
      <c r="O84" s="163">
        <v>3171.4702000000002</v>
      </c>
      <c r="P84" s="165">
        <f t="shared" si="30"/>
        <v>0</v>
      </c>
      <c r="Q84" s="166">
        <f t="shared" si="31"/>
        <v>0</v>
      </c>
      <c r="R84" s="140"/>
      <c r="S84" s="141"/>
    </row>
    <row r="85" spans="1:19" ht="82.8" x14ac:dyDescent="0.25">
      <c r="A85" s="142" t="s">
        <v>315</v>
      </c>
      <c r="B85" s="143" t="s">
        <v>316</v>
      </c>
      <c r="C85" s="144">
        <f>C86+C87+C88+C89</f>
        <v>80.991399999999999</v>
      </c>
      <c r="D85" s="144">
        <f t="shared" ref="D85:G85" si="35">D86+D87+D88+D89</f>
        <v>81.4542</v>
      </c>
      <c r="E85" s="144">
        <f t="shared" si="35"/>
        <v>76.150800000000004</v>
      </c>
      <c r="F85" s="145">
        <f t="shared" si="35"/>
        <v>21.741799999999998</v>
      </c>
      <c r="G85" s="145">
        <f t="shared" si="35"/>
        <v>21.741799999999998</v>
      </c>
      <c r="H85" s="146">
        <f t="shared" si="26"/>
        <v>0</v>
      </c>
      <c r="I85" s="146">
        <f t="shared" si="27"/>
        <v>0</v>
      </c>
      <c r="J85" s="145">
        <f t="shared" ref="J85:K85" si="36">J86+J87+J88+J89</f>
        <v>30.459299999999999</v>
      </c>
      <c r="K85" s="145">
        <f t="shared" si="36"/>
        <v>75.078999999999994</v>
      </c>
      <c r="L85" s="146">
        <f t="shared" si="28"/>
        <v>-44.619699999999995</v>
      </c>
      <c r="M85" s="146">
        <f t="shared" si="29"/>
        <v>-59.43033338217078</v>
      </c>
      <c r="N85" s="145">
        <f t="shared" ref="N85:O85" si="37">N86+N87+N88+N89</f>
        <v>32.905100000000004</v>
      </c>
      <c r="O85" s="145">
        <f t="shared" si="37"/>
        <v>78.076000000000008</v>
      </c>
      <c r="P85" s="147">
        <f t="shared" si="30"/>
        <v>-45.170900000000003</v>
      </c>
      <c r="Q85" s="148">
        <f t="shared" si="31"/>
        <v>-57.855038680260257</v>
      </c>
      <c r="R85" s="149">
        <f>K85</f>
        <v>75.078999999999994</v>
      </c>
      <c r="S85" s="150">
        <f>O85</f>
        <v>78.076000000000008</v>
      </c>
    </row>
    <row r="86" spans="1:19" ht="41.4" x14ac:dyDescent="0.25">
      <c r="A86" s="151" t="s">
        <v>317</v>
      </c>
      <c r="B86" s="152" t="s">
        <v>318</v>
      </c>
      <c r="C86" s="153">
        <v>26.431000000000001</v>
      </c>
      <c r="D86" s="153">
        <v>21.0898</v>
      </c>
      <c r="E86" s="153">
        <v>10</v>
      </c>
      <c r="F86" s="154">
        <v>3.1358999999999999</v>
      </c>
      <c r="G86" s="155">
        <v>3.1358999999999999</v>
      </c>
      <c r="H86" s="156">
        <f t="shared" si="26"/>
        <v>0</v>
      </c>
      <c r="I86" s="156">
        <f t="shared" si="27"/>
        <v>0</v>
      </c>
      <c r="J86" s="155">
        <v>8.4556000000000004</v>
      </c>
      <c r="K86" s="155">
        <v>28.894100000000002</v>
      </c>
      <c r="L86" s="156">
        <f t="shared" si="28"/>
        <v>-20.438500000000001</v>
      </c>
      <c r="M86" s="156">
        <f t="shared" si="29"/>
        <v>-70.735894179088461</v>
      </c>
      <c r="N86" s="155">
        <v>9.1346000000000007</v>
      </c>
      <c r="O86" s="155">
        <v>31.7835</v>
      </c>
      <c r="P86" s="157">
        <f t="shared" si="30"/>
        <v>-22.648899999999998</v>
      </c>
      <c r="Q86" s="158">
        <f t="shared" si="31"/>
        <v>-71.259930467066241</v>
      </c>
      <c r="R86" s="140"/>
      <c r="S86" s="141"/>
    </row>
    <row r="87" spans="1:19" ht="41.4" x14ac:dyDescent="0.25">
      <c r="A87" s="151" t="s">
        <v>319</v>
      </c>
      <c r="B87" s="152" t="s">
        <v>320</v>
      </c>
      <c r="C87" s="179">
        <v>22</v>
      </c>
      <c r="D87" s="153">
        <v>12.495100000000001</v>
      </c>
      <c r="E87" s="153">
        <v>12.5</v>
      </c>
      <c r="F87" s="154">
        <v>3.4699</v>
      </c>
      <c r="G87" s="155">
        <v>3.4699</v>
      </c>
      <c r="H87" s="156">
        <f t="shared" si="26"/>
        <v>0</v>
      </c>
      <c r="I87" s="156">
        <f t="shared" si="27"/>
        <v>0</v>
      </c>
      <c r="J87" s="155">
        <v>10.569599999999999</v>
      </c>
      <c r="K87" s="155">
        <v>27.2</v>
      </c>
      <c r="L87" s="156">
        <f t="shared" si="28"/>
        <v>-16.630400000000002</v>
      </c>
      <c r="M87" s="156">
        <f t="shared" si="29"/>
        <v>-61.141176470588235</v>
      </c>
      <c r="N87" s="155">
        <v>11.4183</v>
      </c>
      <c r="O87" s="155">
        <v>27.2</v>
      </c>
      <c r="P87" s="157">
        <f t="shared" si="30"/>
        <v>-15.781699999999999</v>
      </c>
      <c r="Q87" s="158">
        <f t="shared" si="31"/>
        <v>-58.020955882352936</v>
      </c>
      <c r="R87" s="140"/>
      <c r="S87" s="141"/>
    </row>
    <row r="88" spans="1:19" ht="27.6" x14ac:dyDescent="0.25">
      <c r="A88" s="151" t="s">
        <v>321</v>
      </c>
      <c r="B88" s="152" t="s">
        <v>322</v>
      </c>
      <c r="C88" s="153">
        <v>32.560400000000001</v>
      </c>
      <c r="D88" s="153">
        <v>46.869399999999999</v>
      </c>
      <c r="E88" s="153">
        <v>52.650799999999997</v>
      </c>
      <c r="F88" s="154">
        <v>14.8584</v>
      </c>
      <c r="G88" s="155">
        <v>14.8584</v>
      </c>
      <c r="H88" s="156">
        <f t="shared" si="26"/>
        <v>0</v>
      </c>
      <c r="I88" s="156">
        <f t="shared" si="27"/>
        <v>0</v>
      </c>
      <c r="J88" s="155">
        <v>10.5885</v>
      </c>
      <c r="K88" s="155">
        <v>17.389399999999998</v>
      </c>
      <c r="L88" s="156">
        <f t="shared" si="28"/>
        <v>-6.8008999999999986</v>
      </c>
      <c r="M88" s="156">
        <f t="shared" si="29"/>
        <v>-39.109457485594668</v>
      </c>
      <c r="N88" s="155">
        <v>11.438700000000001</v>
      </c>
      <c r="O88" s="155">
        <v>17.389399999999998</v>
      </c>
      <c r="P88" s="157">
        <f t="shared" si="30"/>
        <v>-5.9506999999999977</v>
      </c>
      <c r="Q88" s="158">
        <f t="shared" si="31"/>
        <v>-34.220272119797116</v>
      </c>
      <c r="R88" s="140"/>
      <c r="S88" s="141"/>
    </row>
    <row r="89" spans="1:19" ht="55.2" x14ac:dyDescent="0.25">
      <c r="A89" s="159" t="s">
        <v>323</v>
      </c>
      <c r="B89" s="160" t="s">
        <v>324</v>
      </c>
      <c r="C89" s="161"/>
      <c r="D89" s="161">
        <v>0.99990000000000001</v>
      </c>
      <c r="E89" s="161">
        <v>1</v>
      </c>
      <c r="F89" s="162">
        <v>0.27760000000000001</v>
      </c>
      <c r="G89" s="163">
        <v>0.27760000000000001</v>
      </c>
      <c r="H89" s="164">
        <f t="shared" si="26"/>
        <v>0</v>
      </c>
      <c r="I89" s="164">
        <f t="shared" si="27"/>
        <v>0</v>
      </c>
      <c r="J89" s="163">
        <v>0.84560000000000002</v>
      </c>
      <c r="K89" s="163">
        <v>1.5954999999999999</v>
      </c>
      <c r="L89" s="164">
        <f t="shared" si="28"/>
        <v>-0.7498999999999999</v>
      </c>
      <c r="M89" s="164">
        <f t="shared" si="29"/>
        <v>-47.000940144155436</v>
      </c>
      <c r="N89" s="163">
        <v>0.91349999999999998</v>
      </c>
      <c r="O89" s="163">
        <v>1.7031000000000001</v>
      </c>
      <c r="P89" s="165">
        <f t="shared" si="30"/>
        <v>-0.78960000000000008</v>
      </c>
      <c r="Q89" s="166">
        <f t="shared" si="31"/>
        <v>-46.362515413070284</v>
      </c>
      <c r="R89" s="140"/>
      <c r="S89" s="141"/>
    </row>
    <row r="90" spans="1:19" ht="41.4" x14ac:dyDescent="0.25">
      <c r="A90" s="142" t="s">
        <v>325</v>
      </c>
      <c r="B90" s="143" t="s">
        <v>326</v>
      </c>
      <c r="C90" s="144">
        <f>C91+C92+C93+C94+C95+C96</f>
        <v>4272.0410000000002</v>
      </c>
      <c r="D90" s="144">
        <f t="shared" ref="D90:G90" si="38">D91+D92+D93+D94+D95+D96</f>
        <v>4894.067</v>
      </c>
      <c r="E90" s="144">
        <f t="shared" si="38"/>
        <v>6513.4591</v>
      </c>
      <c r="F90" s="145">
        <f t="shared" si="38"/>
        <v>5107.7987000000003</v>
      </c>
      <c r="G90" s="145">
        <f t="shared" si="38"/>
        <v>5107.7987000000003</v>
      </c>
      <c r="H90" s="146">
        <f t="shared" si="26"/>
        <v>0</v>
      </c>
      <c r="I90" s="146">
        <f t="shared" si="27"/>
        <v>0</v>
      </c>
      <c r="J90" s="145">
        <f t="shared" ref="J90:K90" si="39">J91+J92+J93+J94+J95+J96</f>
        <v>5300.4588999999996</v>
      </c>
      <c r="K90" s="145">
        <f t="shared" si="39"/>
        <v>5592.1391000000003</v>
      </c>
      <c r="L90" s="146">
        <f t="shared" si="28"/>
        <v>-291.6802000000007</v>
      </c>
      <c r="M90" s="146">
        <f t="shared" si="29"/>
        <v>-5.2158967218823449</v>
      </c>
      <c r="N90" s="145">
        <f t="shared" ref="N90:O90" si="40">N91+N92+N93+N94+N95+N96</f>
        <v>5420.9553999999998</v>
      </c>
      <c r="O90" s="145">
        <f t="shared" si="40"/>
        <v>5889.4341000000004</v>
      </c>
      <c r="P90" s="147">
        <f t="shared" si="30"/>
        <v>-468.47870000000057</v>
      </c>
      <c r="Q90" s="148">
        <f t="shared" si="31"/>
        <v>-7.9545622218610106</v>
      </c>
      <c r="R90" s="149">
        <f>K90+1205.2781</f>
        <v>6797.4171999999999</v>
      </c>
      <c r="S90" s="150">
        <f>O90+1890.2883</f>
        <v>7779.7224000000006</v>
      </c>
    </row>
    <row r="91" spans="1:19" ht="41.4" x14ac:dyDescent="0.25">
      <c r="A91" s="151" t="s">
        <v>327</v>
      </c>
      <c r="B91" s="152" t="s">
        <v>328</v>
      </c>
      <c r="C91" s="153">
        <v>432.82580000000002</v>
      </c>
      <c r="D91" s="153">
        <v>431.10300000000001</v>
      </c>
      <c r="E91" s="153">
        <v>484.04730000000001</v>
      </c>
      <c r="F91" s="154">
        <v>322.35669999999999</v>
      </c>
      <c r="G91" s="155">
        <v>322.35669999999999</v>
      </c>
      <c r="H91" s="156">
        <f t="shared" si="26"/>
        <v>0</v>
      </c>
      <c r="I91" s="156">
        <f t="shared" si="27"/>
        <v>0</v>
      </c>
      <c r="J91" s="155">
        <v>464.39409999999998</v>
      </c>
      <c r="K91" s="155">
        <v>312.28190000000001</v>
      </c>
      <c r="L91" s="156">
        <f t="shared" si="28"/>
        <v>152.11219999999997</v>
      </c>
      <c r="M91" s="156">
        <f t="shared" si="29"/>
        <v>48.709899613137992</v>
      </c>
      <c r="N91" s="155">
        <v>464.39409999999998</v>
      </c>
      <c r="O91" s="155">
        <v>326.95909999999998</v>
      </c>
      <c r="P91" s="157">
        <f t="shared" si="30"/>
        <v>137.435</v>
      </c>
      <c r="Q91" s="158">
        <f t="shared" si="31"/>
        <v>42.034309490086059</v>
      </c>
      <c r="R91" s="140"/>
      <c r="S91" s="141"/>
    </row>
    <row r="92" spans="1:19" ht="41.4" x14ac:dyDescent="0.25">
      <c r="A92" s="151" t="s">
        <v>329</v>
      </c>
      <c r="B92" s="152" t="s">
        <v>330</v>
      </c>
      <c r="C92" s="153">
        <v>29.0063</v>
      </c>
      <c r="D92" s="153">
        <v>147.38210000000001</v>
      </c>
      <c r="E92" s="153">
        <v>436.5016</v>
      </c>
      <c r="F92" s="154">
        <v>150</v>
      </c>
      <c r="G92" s="155">
        <v>150</v>
      </c>
      <c r="H92" s="156">
        <f t="shared" si="26"/>
        <v>0</v>
      </c>
      <c r="I92" s="156">
        <f t="shared" si="27"/>
        <v>0</v>
      </c>
      <c r="J92" s="155">
        <v>0</v>
      </c>
      <c r="K92" s="155">
        <v>422</v>
      </c>
      <c r="L92" s="156">
        <f t="shared" si="28"/>
        <v>-422</v>
      </c>
      <c r="M92" s="156">
        <f t="shared" si="29"/>
        <v>-100</v>
      </c>
      <c r="N92" s="155">
        <v>0</v>
      </c>
      <c r="O92" s="155">
        <v>552</v>
      </c>
      <c r="P92" s="157">
        <f t="shared" si="30"/>
        <v>-552</v>
      </c>
      <c r="Q92" s="158">
        <f t="shared" si="31"/>
        <v>-100</v>
      </c>
      <c r="R92" s="140"/>
      <c r="S92" s="141"/>
    </row>
    <row r="93" spans="1:19" ht="41.4" x14ac:dyDescent="0.25">
      <c r="A93" s="151" t="s">
        <v>331</v>
      </c>
      <c r="B93" s="152" t="s">
        <v>332</v>
      </c>
      <c r="C93" s="153">
        <v>579.03949999999998</v>
      </c>
      <c r="D93" s="153">
        <v>1135.4845</v>
      </c>
      <c r="E93" s="153">
        <v>1147.3747000000001</v>
      </c>
      <c r="F93" s="154">
        <v>126.53530000000001</v>
      </c>
      <c r="G93" s="155">
        <v>126.53530000000001</v>
      </c>
      <c r="H93" s="156">
        <f t="shared" si="26"/>
        <v>0</v>
      </c>
      <c r="I93" s="156">
        <f t="shared" si="27"/>
        <v>0</v>
      </c>
      <c r="J93" s="155">
        <v>224.22989999999999</v>
      </c>
      <c r="K93" s="155">
        <v>224.22989999999999</v>
      </c>
      <c r="L93" s="156">
        <f t="shared" si="28"/>
        <v>0</v>
      </c>
      <c r="M93" s="156">
        <f t="shared" si="29"/>
        <v>0</v>
      </c>
      <c r="N93" s="155">
        <v>233.125</v>
      </c>
      <c r="O93" s="155">
        <v>233.125</v>
      </c>
      <c r="P93" s="157">
        <f t="shared" si="30"/>
        <v>0</v>
      </c>
      <c r="Q93" s="158">
        <f t="shared" si="31"/>
        <v>0</v>
      </c>
      <c r="R93" s="140"/>
      <c r="S93" s="141"/>
    </row>
    <row r="94" spans="1:19" ht="55.2" x14ac:dyDescent="0.25">
      <c r="A94" s="151" t="s">
        <v>333</v>
      </c>
      <c r="B94" s="152" t="s">
        <v>334</v>
      </c>
      <c r="C94" s="153">
        <v>2555.8744000000002</v>
      </c>
      <c r="D94" s="153">
        <v>2551.587</v>
      </c>
      <c r="E94" s="153">
        <v>3780.9002</v>
      </c>
      <c r="F94" s="154">
        <v>3812.0479</v>
      </c>
      <c r="G94" s="155">
        <v>3812.0479</v>
      </c>
      <c r="H94" s="156">
        <f t="shared" si="26"/>
        <v>0</v>
      </c>
      <c r="I94" s="156">
        <f t="shared" si="27"/>
        <v>0</v>
      </c>
      <c r="J94" s="155">
        <v>3903.768</v>
      </c>
      <c r="K94" s="155">
        <v>3903.768</v>
      </c>
      <c r="L94" s="156">
        <f t="shared" si="28"/>
        <v>0</v>
      </c>
      <c r="M94" s="156">
        <f t="shared" si="29"/>
        <v>0</v>
      </c>
      <c r="N94" s="155">
        <v>4083.3742000000002</v>
      </c>
      <c r="O94" s="155">
        <v>4083.3742000000002</v>
      </c>
      <c r="P94" s="157">
        <f t="shared" si="30"/>
        <v>0</v>
      </c>
      <c r="Q94" s="158">
        <f t="shared" si="31"/>
        <v>0</v>
      </c>
      <c r="R94" s="140"/>
      <c r="S94" s="141"/>
    </row>
    <row r="95" spans="1:19" ht="41.4" x14ac:dyDescent="0.25">
      <c r="A95" s="151" t="s">
        <v>335</v>
      </c>
      <c r="B95" s="152" t="s">
        <v>336</v>
      </c>
      <c r="C95" s="153">
        <v>675.29499999999996</v>
      </c>
      <c r="D95" s="153">
        <v>628.5104</v>
      </c>
      <c r="E95" s="153">
        <v>616.69640000000004</v>
      </c>
      <c r="F95" s="154">
        <v>641.05619999999999</v>
      </c>
      <c r="G95" s="155">
        <v>641.05619999999999</v>
      </c>
      <c r="H95" s="156">
        <f t="shared" si="26"/>
        <v>0</v>
      </c>
      <c r="I95" s="156">
        <f t="shared" si="27"/>
        <v>0</v>
      </c>
      <c r="J95" s="155">
        <v>637.93780000000004</v>
      </c>
      <c r="K95" s="155">
        <v>659.73019999999997</v>
      </c>
      <c r="L95" s="156">
        <f t="shared" si="28"/>
        <v>-21.79239999999993</v>
      </c>
      <c r="M95" s="156">
        <f t="shared" si="29"/>
        <v>-3.3032291078989431</v>
      </c>
      <c r="N95" s="155">
        <v>629.94110000000001</v>
      </c>
      <c r="O95" s="155">
        <v>668.84670000000006</v>
      </c>
      <c r="P95" s="157">
        <f t="shared" si="30"/>
        <v>-38.905600000000049</v>
      </c>
      <c r="Q95" s="158">
        <f t="shared" si="31"/>
        <v>-5.8168187119709245</v>
      </c>
      <c r="R95" s="140"/>
      <c r="S95" s="141"/>
    </row>
    <row r="96" spans="1:19" ht="27.6" x14ac:dyDescent="0.25">
      <c r="A96" s="159" t="s">
        <v>337</v>
      </c>
      <c r="B96" s="160" t="s">
        <v>338</v>
      </c>
      <c r="C96" s="161"/>
      <c r="D96" s="161"/>
      <c r="E96" s="161">
        <v>47.938899999999997</v>
      </c>
      <c r="F96" s="162">
        <v>55.802599999999998</v>
      </c>
      <c r="G96" s="163">
        <v>55.802599999999998</v>
      </c>
      <c r="H96" s="164">
        <f t="shared" si="26"/>
        <v>0</v>
      </c>
      <c r="I96" s="164">
        <f t="shared" si="27"/>
        <v>0</v>
      </c>
      <c r="J96" s="163">
        <v>70.129099999999994</v>
      </c>
      <c r="K96" s="163">
        <v>70.129099999999994</v>
      </c>
      <c r="L96" s="164">
        <f t="shared" si="28"/>
        <v>0</v>
      </c>
      <c r="M96" s="164">
        <f t="shared" si="29"/>
        <v>0</v>
      </c>
      <c r="N96" s="163">
        <v>10.121</v>
      </c>
      <c r="O96" s="163">
        <v>25.129100000000001</v>
      </c>
      <c r="P96" s="165">
        <f t="shared" si="30"/>
        <v>-15.008100000000001</v>
      </c>
      <c r="Q96" s="166">
        <f t="shared" si="31"/>
        <v>-59.723985339705763</v>
      </c>
      <c r="R96" s="140"/>
      <c r="S96" s="141"/>
    </row>
    <row r="97" spans="1:19" ht="41.4" x14ac:dyDescent="0.25">
      <c r="A97" s="167" t="s">
        <v>339</v>
      </c>
      <c r="B97" s="168" t="s">
        <v>340</v>
      </c>
      <c r="C97" s="169">
        <v>47.294699999999999</v>
      </c>
      <c r="D97" s="169">
        <v>381.26400000000001</v>
      </c>
      <c r="E97" s="169">
        <v>106.0838</v>
      </c>
      <c r="F97" s="170">
        <v>111.5851</v>
      </c>
      <c r="G97" s="170">
        <v>111.5851</v>
      </c>
      <c r="H97" s="171">
        <f t="shared" si="26"/>
        <v>0</v>
      </c>
      <c r="I97" s="171">
        <f t="shared" si="27"/>
        <v>0</v>
      </c>
      <c r="J97" s="170">
        <v>75.361999999999995</v>
      </c>
      <c r="K97" s="170">
        <v>75.361999999999995</v>
      </c>
      <c r="L97" s="171">
        <f t="shared" si="28"/>
        <v>0</v>
      </c>
      <c r="M97" s="171">
        <f t="shared" si="29"/>
        <v>0</v>
      </c>
      <c r="N97" s="170">
        <v>23.9634</v>
      </c>
      <c r="O97" s="170">
        <v>426.37099999999998</v>
      </c>
      <c r="P97" s="172">
        <f t="shared" si="30"/>
        <v>-402.4076</v>
      </c>
      <c r="Q97" s="173">
        <f t="shared" si="31"/>
        <v>-94.379683421245815</v>
      </c>
      <c r="R97" s="180">
        <f>K97+1687.48</f>
        <v>1762.8420000000001</v>
      </c>
      <c r="S97" s="150">
        <f>O97+2275.86</f>
        <v>2702.2310000000002</v>
      </c>
    </row>
    <row r="98" spans="1:19" ht="55.2" x14ac:dyDescent="0.25">
      <c r="A98" s="167" t="s">
        <v>341</v>
      </c>
      <c r="B98" s="168" t="s">
        <v>342</v>
      </c>
      <c r="C98" s="169">
        <v>57.308599999999998</v>
      </c>
      <c r="D98" s="169">
        <v>54.190899999999999</v>
      </c>
      <c r="E98" s="169">
        <v>56.384700000000002</v>
      </c>
      <c r="F98" s="170">
        <v>81.733400000000003</v>
      </c>
      <c r="G98" s="170">
        <v>81.733400000000003</v>
      </c>
      <c r="H98" s="171">
        <f t="shared" si="26"/>
        <v>0</v>
      </c>
      <c r="I98" s="171">
        <f t="shared" si="27"/>
        <v>0</v>
      </c>
      <c r="J98" s="170">
        <v>69.858900000000006</v>
      </c>
      <c r="K98" s="170">
        <v>69.858900000000006</v>
      </c>
      <c r="L98" s="171">
        <f t="shared" si="28"/>
        <v>0</v>
      </c>
      <c r="M98" s="171">
        <f t="shared" si="29"/>
        <v>0</v>
      </c>
      <c r="N98" s="170">
        <v>71.665999999999997</v>
      </c>
      <c r="O98" s="170">
        <v>71.665999999999997</v>
      </c>
      <c r="P98" s="172">
        <f t="shared" si="30"/>
        <v>0</v>
      </c>
      <c r="Q98" s="173">
        <f t="shared" si="31"/>
        <v>0</v>
      </c>
      <c r="R98" s="149">
        <f>K98</f>
        <v>69.858900000000006</v>
      </c>
      <c r="S98" s="150">
        <f>O98</f>
        <v>71.665999999999997</v>
      </c>
    </row>
    <row r="99" spans="1:19" ht="55.2" x14ac:dyDescent="0.25">
      <c r="A99" s="142" t="s">
        <v>343</v>
      </c>
      <c r="B99" s="143" t="s">
        <v>344</v>
      </c>
      <c r="C99" s="144">
        <f>C100+C101+C102+C103</f>
        <v>6005.9546</v>
      </c>
      <c r="D99" s="144">
        <f>D100+D101+D102+D103</f>
        <v>4815.4683000000005</v>
      </c>
      <c r="E99" s="144">
        <f>E100+E101+E102+E103</f>
        <v>4928.2129999999997</v>
      </c>
      <c r="F99" s="145">
        <f>F100+F101+F102+F103</f>
        <v>4295.2379000000001</v>
      </c>
      <c r="G99" s="145">
        <f t="shared" ref="G99" si="41">G100+G101+G102+G103</f>
        <v>4295.2379000000001</v>
      </c>
      <c r="H99" s="146">
        <f t="shared" si="26"/>
        <v>0</v>
      </c>
      <c r="I99" s="146">
        <f t="shared" si="27"/>
        <v>0</v>
      </c>
      <c r="J99" s="145">
        <f t="shared" ref="J99:O99" si="42">J100+J101+J102+J103</f>
        <v>3919.2666999999997</v>
      </c>
      <c r="K99" s="145">
        <f t="shared" si="42"/>
        <v>3919.2666999999997</v>
      </c>
      <c r="L99" s="146">
        <f t="shared" si="28"/>
        <v>0</v>
      </c>
      <c r="M99" s="146">
        <f t="shared" si="29"/>
        <v>0</v>
      </c>
      <c r="N99" s="145">
        <f t="shared" si="42"/>
        <v>4165.6391000000003</v>
      </c>
      <c r="O99" s="145">
        <f t="shared" si="42"/>
        <v>4165.6391000000003</v>
      </c>
      <c r="P99" s="147">
        <f t="shared" si="30"/>
        <v>0</v>
      </c>
      <c r="Q99" s="148">
        <f t="shared" si="31"/>
        <v>0</v>
      </c>
      <c r="R99" s="149">
        <f>K99+143.5863</f>
        <v>4062.8529999999996</v>
      </c>
      <c r="S99" s="150">
        <f>O99+139.6993</f>
        <v>4305.3384000000005</v>
      </c>
    </row>
    <row r="100" spans="1:19" ht="55.2" x14ac:dyDescent="0.25">
      <c r="A100" s="151" t="s">
        <v>345</v>
      </c>
      <c r="B100" s="152" t="s">
        <v>346</v>
      </c>
      <c r="C100" s="153">
        <v>218.13419999999999</v>
      </c>
      <c r="D100" s="153">
        <v>195.96010000000001</v>
      </c>
      <c r="E100" s="153">
        <v>195.04769999999999</v>
      </c>
      <c r="F100" s="154">
        <v>150.6223</v>
      </c>
      <c r="G100" s="155">
        <v>150.6223</v>
      </c>
      <c r="H100" s="156">
        <f t="shared" si="26"/>
        <v>0</v>
      </c>
      <c r="I100" s="156">
        <f t="shared" si="27"/>
        <v>0</v>
      </c>
      <c r="J100" s="155">
        <v>152.18029999999999</v>
      </c>
      <c r="K100" s="155">
        <v>152.18029999999999</v>
      </c>
      <c r="L100" s="156">
        <f t="shared" si="28"/>
        <v>0</v>
      </c>
      <c r="M100" s="156">
        <f t="shared" si="29"/>
        <v>0</v>
      </c>
      <c r="N100" s="155">
        <v>153.18029999999999</v>
      </c>
      <c r="O100" s="155">
        <v>153.18029999999999</v>
      </c>
      <c r="P100" s="157">
        <f t="shared" si="30"/>
        <v>0</v>
      </c>
      <c r="Q100" s="158">
        <f t="shared" si="31"/>
        <v>0</v>
      </c>
      <c r="R100" s="140"/>
      <c r="S100" s="141"/>
    </row>
    <row r="101" spans="1:19" ht="27.6" x14ac:dyDescent="0.25">
      <c r="A101" s="151" t="s">
        <v>347</v>
      </c>
      <c r="B101" s="152" t="s">
        <v>348</v>
      </c>
      <c r="C101" s="153">
        <v>1754.2739999999999</v>
      </c>
      <c r="D101" s="153">
        <v>1413.9712999999999</v>
      </c>
      <c r="E101" s="153">
        <v>1230.1610000000001</v>
      </c>
      <c r="F101" s="154">
        <v>1179.5250000000001</v>
      </c>
      <c r="G101" s="155">
        <v>1179.5250000000001</v>
      </c>
      <c r="H101" s="156">
        <f t="shared" si="26"/>
        <v>0</v>
      </c>
      <c r="I101" s="156">
        <f t="shared" si="27"/>
        <v>0</v>
      </c>
      <c r="J101" s="155">
        <v>1479.425</v>
      </c>
      <c r="K101" s="155">
        <v>1479.425</v>
      </c>
      <c r="L101" s="156">
        <f t="shared" si="28"/>
        <v>0</v>
      </c>
      <c r="M101" s="156">
        <f t="shared" si="29"/>
        <v>0</v>
      </c>
      <c r="N101" s="155">
        <v>1479.8150000000001</v>
      </c>
      <c r="O101" s="155">
        <v>1479.8150000000001</v>
      </c>
      <c r="P101" s="157">
        <f t="shared" si="30"/>
        <v>0</v>
      </c>
      <c r="Q101" s="158">
        <f t="shared" si="31"/>
        <v>0</v>
      </c>
      <c r="R101" s="140"/>
      <c r="S101" s="141"/>
    </row>
    <row r="102" spans="1:19" ht="41.4" x14ac:dyDescent="0.25">
      <c r="A102" s="151" t="s">
        <v>349</v>
      </c>
      <c r="B102" s="152" t="s">
        <v>350</v>
      </c>
      <c r="C102" s="153">
        <v>4011.0753</v>
      </c>
      <c r="D102" s="153">
        <v>3177.7903000000001</v>
      </c>
      <c r="E102" s="153">
        <v>3475.2044999999998</v>
      </c>
      <c r="F102" s="154">
        <v>2940.1840000000002</v>
      </c>
      <c r="G102" s="155">
        <v>2940.1840000000002</v>
      </c>
      <c r="H102" s="156">
        <f t="shared" si="26"/>
        <v>0</v>
      </c>
      <c r="I102" s="156">
        <f t="shared" si="27"/>
        <v>0</v>
      </c>
      <c r="J102" s="155">
        <v>2262.7548000000002</v>
      </c>
      <c r="K102" s="155">
        <v>2262.7548000000002</v>
      </c>
      <c r="L102" s="156">
        <f t="shared" si="28"/>
        <v>0</v>
      </c>
      <c r="M102" s="156">
        <f t="shared" si="29"/>
        <v>0</v>
      </c>
      <c r="N102" s="155">
        <v>2507.7372</v>
      </c>
      <c r="O102" s="155">
        <v>2507.7372</v>
      </c>
      <c r="P102" s="157">
        <f t="shared" si="30"/>
        <v>0</v>
      </c>
      <c r="Q102" s="158">
        <f t="shared" si="31"/>
        <v>0</v>
      </c>
      <c r="R102" s="140"/>
      <c r="S102" s="141"/>
    </row>
    <row r="103" spans="1:19" ht="41.4" x14ac:dyDescent="0.25">
      <c r="A103" s="159" t="s">
        <v>351</v>
      </c>
      <c r="B103" s="160" t="s">
        <v>352</v>
      </c>
      <c r="C103" s="161">
        <v>22.4711</v>
      </c>
      <c r="D103" s="161">
        <v>27.746600000000001</v>
      </c>
      <c r="E103" s="161">
        <v>27.799800000000001</v>
      </c>
      <c r="F103" s="162">
        <v>24.906600000000001</v>
      </c>
      <c r="G103" s="163">
        <v>24.906600000000001</v>
      </c>
      <c r="H103" s="164">
        <f t="shared" si="26"/>
        <v>0</v>
      </c>
      <c r="I103" s="164">
        <f t="shared" si="27"/>
        <v>0</v>
      </c>
      <c r="J103" s="163">
        <v>24.906600000000001</v>
      </c>
      <c r="K103" s="163">
        <v>24.906600000000001</v>
      </c>
      <c r="L103" s="164">
        <f t="shared" si="28"/>
        <v>0</v>
      </c>
      <c r="M103" s="164">
        <f t="shared" si="29"/>
        <v>0</v>
      </c>
      <c r="N103" s="163">
        <v>24.906600000000001</v>
      </c>
      <c r="O103" s="163">
        <v>24.906600000000001</v>
      </c>
      <c r="P103" s="165">
        <f t="shared" si="30"/>
        <v>0</v>
      </c>
      <c r="Q103" s="166">
        <f t="shared" si="31"/>
        <v>0</v>
      </c>
      <c r="R103" s="140"/>
      <c r="S103" s="141"/>
    </row>
    <row r="104" spans="1:19" ht="55.2" x14ac:dyDescent="0.25">
      <c r="A104" s="142" t="s">
        <v>353</v>
      </c>
      <c r="B104" s="143" t="s">
        <v>354</v>
      </c>
      <c r="C104" s="144">
        <f>C105+C106+C107+C108+C109</f>
        <v>1205.1885</v>
      </c>
      <c r="D104" s="144">
        <f t="shared" ref="D104:G104" si="43">D105+D106+D107+D108+D109</f>
        <v>1404.0587</v>
      </c>
      <c r="E104" s="144">
        <f t="shared" si="43"/>
        <v>1374.4317000000001</v>
      </c>
      <c r="F104" s="145">
        <f t="shared" si="43"/>
        <v>1194.1489000000001</v>
      </c>
      <c r="G104" s="145">
        <f t="shared" si="43"/>
        <v>1194.1489999999999</v>
      </c>
      <c r="H104" s="146">
        <f t="shared" si="26"/>
        <v>-9.9999999747524271E-5</v>
      </c>
      <c r="I104" s="146">
        <f t="shared" si="27"/>
        <v>-8.3741643379653397E-6</v>
      </c>
      <c r="J104" s="145">
        <f t="shared" ref="J104:K104" si="44">J105+J106+J107+J108+J109</f>
        <v>1011.1294</v>
      </c>
      <c r="K104" s="145">
        <f t="shared" si="44"/>
        <v>1011.1294</v>
      </c>
      <c r="L104" s="146">
        <f t="shared" si="28"/>
        <v>0</v>
      </c>
      <c r="M104" s="146">
        <f t="shared" si="29"/>
        <v>0</v>
      </c>
      <c r="N104" s="145">
        <f t="shared" ref="N104:O104" si="45">N105+N106+N107+N108+N109</f>
        <v>1106.1502</v>
      </c>
      <c r="O104" s="145">
        <f t="shared" si="45"/>
        <v>1106.1523</v>
      </c>
      <c r="P104" s="147">
        <f t="shared" si="30"/>
        <v>-2.0999999999276042E-3</v>
      </c>
      <c r="Q104" s="148">
        <f t="shared" si="31"/>
        <v>-1.8984727509518962E-4</v>
      </c>
      <c r="R104" s="149">
        <f>K104+112.1319</f>
        <v>1123.2613000000001</v>
      </c>
      <c r="S104" s="150">
        <f>O104+112.1164</f>
        <v>1218.2687000000001</v>
      </c>
    </row>
    <row r="105" spans="1:19" ht="82.8" x14ac:dyDescent="0.25">
      <c r="A105" s="151" t="s">
        <v>355</v>
      </c>
      <c r="B105" s="152" t="s">
        <v>356</v>
      </c>
      <c r="C105" s="153">
        <v>10.781599999999999</v>
      </c>
      <c r="D105" s="153">
        <v>10.1622</v>
      </c>
      <c r="E105" s="153">
        <v>8.4924999999999997</v>
      </c>
      <c r="F105" s="154">
        <v>6.4603000000000002</v>
      </c>
      <c r="G105" s="155">
        <v>6.4603000000000002</v>
      </c>
      <c r="H105" s="156">
        <f t="shared" si="26"/>
        <v>0</v>
      </c>
      <c r="I105" s="156">
        <f t="shared" si="27"/>
        <v>0</v>
      </c>
      <c r="J105" s="155">
        <v>4.1540999999999997</v>
      </c>
      <c r="K105" s="155">
        <v>4.1540999999999997</v>
      </c>
      <c r="L105" s="156">
        <f t="shared" si="28"/>
        <v>0</v>
      </c>
      <c r="M105" s="156">
        <f t="shared" si="29"/>
        <v>0</v>
      </c>
      <c r="N105" s="155">
        <v>8.0622000000000007</v>
      </c>
      <c r="O105" s="155">
        <v>8.0622000000000007</v>
      </c>
      <c r="P105" s="157">
        <f t="shared" si="30"/>
        <v>0</v>
      </c>
      <c r="Q105" s="158">
        <f t="shared" si="31"/>
        <v>0</v>
      </c>
      <c r="R105" s="140"/>
      <c r="S105" s="141"/>
    </row>
    <row r="106" spans="1:19" ht="69" x14ac:dyDescent="0.25">
      <c r="A106" s="151" t="s">
        <v>357</v>
      </c>
      <c r="B106" s="152" t="s">
        <v>358</v>
      </c>
      <c r="C106" s="153">
        <v>161.90950000000001</v>
      </c>
      <c r="D106" s="153">
        <v>273.71600000000001</v>
      </c>
      <c r="E106" s="153">
        <v>353.41520000000003</v>
      </c>
      <c r="F106" s="154">
        <v>221.2132</v>
      </c>
      <c r="G106" s="155">
        <v>221.2132</v>
      </c>
      <c r="H106" s="156">
        <f t="shared" si="26"/>
        <v>0</v>
      </c>
      <c r="I106" s="156">
        <f t="shared" si="27"/>
        <v>0</v>
      </c>
      <c r="J106" s="155">
        <v>191.02699999999999</v>
      </c>
      <c r="K106" s="155">
        <v>191.02699999999999</v>
      </c>
      <c r="L106" s="156">
        <f t="shared" si="28"/>
        <v>0</v>
      </c>
      <c r="M106" s="156">
        <f t="shared" si="29"/>
        <v>0</v>
      </c>
      <c r="N106" s="155">
        <v>215.86099999999999</v>
      </c>
      <c r="O106" s="155">
        <v>215.86099999999999</v>
      </c>
      <c r="P106" s="157">
        <f t="shared" si="30"/>
        <v>0</v>
      </c>
      <c r="Q106" s="158">
        <f t="shared" si="31"/>
        <v>0</v>
      </c>
      <c r="R106" s="140"/>
      <c r="S106" s="141"/>
    </row>
    <row r="107" spans="1:19" ht="41.4" x14ac:dyDescent="0.25">
      <c r="A107" s="151" t="s">
        <v>359</v>
      </c>
      <c r="B107" s="152" t="s">
        <v>360</v>
      </c>
      <c r="C107" s="153">
        <v>80.241200000000006</v>
      </c>
      <c r="D107" s="153">
        <v>135.5172</v>
      </c>
      <c r="E107" s="153">
        <v>78.809600000000003</v>
      </c>
      <c r="F107" s="154">
        <v>110.85169999999999</v>
      </c>
      <c r="G107" s="155">
        <v>110.85169999999999</v>
      </c>
      <c r="H107" s="156">
        <f t="shared" si="26"/>
        <v>0</v>
      </c>
      <c r="I107" s="156">
        <f t="shared" si="27"/>
        <v>0</v>
      </c>
      <c r="J107" s="155">
        <v>60.18</v>
      </c>
      <c r="K107" s="155">
        <v>60.18</v>
      </c>
      <c r="L107" s="156">
        <f t="shared" si="28"/>
        <v>0</v>
      </c>
      <c r="M107" s="156">
        <f t="shared" si="29"/>
        <v>0</v>
      </c>
      <c r="N107" s="155">
        <v>66.271000000000001</v>
      </c>
      <c r="O107" s="155">
        <v>66.273099999999999</v>
      </c>
      <c r="P107" s="157">
        <f t="shared" si="30"/>
        <v>-2.0999999999986585E-3</v>
      </c>
      <c r="Q107" s="158">
        <f t="shared" si="31"/>
        <v>-3.1687064585810276E-3</v>
      </c>
      <c r="R107" s="140"/>
      <c r="S107" s="141"/>
    </row>
    <row r="108" spans="1:19" ht="69" x14ac:dyDescent="0.25">
      <c r="A108" s="151" t="s">
        <v>361</v>
      </c>
      <c r="B108" s="152" t="s">
        <v>362</v>
      </c>
      <c r="C108" s="153">
        <v>92.161900000000003</v>
      </c>
      <c r="D108" s="153">
        <v>79.840500000000006</v>
      </c>
      <c r="E108" s="153">
        <v>86.6434</v>
      </c>
      <c r="F108" s="154">
        <v>76.297200000000004</v>
      </c>
      <c r="G108" s="155">
        <v>76.297300000000007</v>
      </c>
      <c r="H108" s="156">
        <f t="shared" si="26"/>
        <v>-1.0000000000331966E-4</v>
      </c>
      <c r="I108" s="156">
        <f t="shared" si="27"/>
        <v>-1.3106623694625341E-4</v>
      </c>
      <c r="J108" s="155">
        <v>63.806100000000001</v>
      </c>
      <c r="K108" s="155">
        <v>63.806100000000001</v>
      </c>
      <c r="L108" s="156">
        <f t="shared" si="28"/>
        <v>0</v>
      </c>
      <c r="M108" s="156">
        <f t="shared" si="29"/>
        <v>0</v>
      </c>
      <c r="N108" s="155">
        <v>71.709699999999998</v>
      </c>
      <c r="O108" s="155">
        <v>71.709699999999998</v>
      </c>
      <c r="P108" s="157">
        <f t="shared" si="30"/>
        <v>0</v>
      </c>
      <c r="Q108" s="158">
        <f t="shared" si="31"/>
        <v>0</v>
      </c>
      <c r="R108" s="140"/>
      <c r="S108" s="141"/>
    </row>
    <row r="109" spans="1:19" ht="41.4" x14ac:dyDescent="0.25">
      <c r="A109" s="159" t="s">
        <v>363</v>
      </c>
      <c r="B109" s="160" t="s">
        <v>364</v>
      </c>
      <c r="C109" s="161">
        <v>860.09429999999998</v>
      </c>
      <c r="D109" s="161">
        <v>904.82280000000003</v>
      </c>
      <c r="E109" s="161">
        <v>847.07100000000003</v>
      </c>
      <c r="F109" s="162">
        <v>779.32650000000001</v>
      </c>
      <c r="G109" s="163">
        <v>779.32650000000001</v>
      </c>
      <c r="H109" s="164">
        <f t="shared" si="26"/>
        <v>0</v>
      </c>
      <c r="I109" s="164">
        <f t="shared" si="27"/>
        <v>0</v>
      </c>
      <c r="J109" s="163">
        <v>691.96220000000005</v>
      </c>
      <c r="K109" s="163">
        <v>691.96220000000005</v>
      </c>
      <c r="L109" s="164">
        <f t="shared" si="28"/>
        <v>0</v>
      </c>
      <c r="M109" s="164">
        <f t="shared" si="29"/>
        <v>0</v>
      </c>
      <c r="N109" s="163">
        <v>744.24630000000002</v>
      </c>
      <c r="O109" s="163">
        <v>744.24630000000002</v>
      </c>
      <c r="P109" s="165">
        <f t="shared" si="30"/>
        <v>0</v>
      </c>
      <c r="Q109" s="166">
        <f t="shared" si="31"/>
        <v>0</v>
      </c>
      <c r="R109" s="140"/>
      <c r="S109" s="141"/>
    </row>
    <row r="110" spans="1:19" ht="55.2" x14ac:dyDescent="0.25">
      <c r="A110" s="167" t="s">
        <v>365</v>
      </c>
      <c r="B110" s="168" t="s">
        <v>366</v>
      </c>
      <c r="C110" s="169">
        <v>108.4</v>
      </c>
      <c r="D110" s="169">
        <v>158.20480000000001</v>
      </c>
      <c r="E110" s="169">
        <v>132.28450000000001</v>
      </c>
      <c r="F110" s="170">
        <v>134.41669999999999</v>
      </c>
      <c r="G110" s="170">
        <v>134.41669999999999</v>
      </c>
      <c r="H110" s="171">
        <f t="shared" si="26"/>
        <v>0</v>
      </c>
      <c r="I110" s="171">
        <f t="shared" si="27"/>
        <v>0</v>
      </c>
      <c r="J110" s="170">
        <v>62</v>
      </c>
      <c r="K110" s="170">
        <v>42</v>
      </c>
      <c r="L110" s="171">
        <f t="shared" si="28"/>
        <v>20</v>
      </c>
      <c r="M110" s="171">
        <f t="shared" si="29"/>
        <v>47.61904761904762</v>
      </c>
      <c r="N110" s="170">
        <v>62</v>
      </c>
      <c r="O110" s="170">
        <v>42</v>
      </c>
      <c r="P110" s="172">
        <f t="shared" si="30"/>
        <v>20</v>
      </c>
      <c r="Q110" s="173">
        <f t="shared" si="31"/>
        <v>47.61904761904762</v>
      </c>
      <c r="R110" s="149">
        <f>K110+33</f>
        <v>75</v>
      </c>
      <c r="S110" s="150">
        <f>O110+33</f>
        <v>75</v>
      </c>
    </row>
    <row r="111" spans="1:19" s="178" customFormat="1" x14ac:dyDescent="0.25">
      <c r="A111" s="181" t="s">
        <v>119</v>
      </c>
      <c r="B111" s="182"/>
      <c r="C111" s="183" t="e">
        <f t="shared" ref="C111:H111" si="46">C8+C17+C25+C34+C35+C40+C45+C50+C54+C59+C63+C69+C76+C77+C82+C85+C90+C97+C98+C99+C104+C110</f>
        <v>#REF!</v>
      </c>
      <c r="D111" s="183" t="e">
        <f t="shared" si="46"/>
        <v>#REF!</v>
      </c>
      <c r="E111" s="183" t="e">
        <f t="shared" si="46"/>
        <v>#REF!</v>
      </c>
      <c r="F111" s="184">
        <f t="shared" si="46"/>
        <v>55802.705100000014</v>
      </c>
      <c r="G111" s="184">
        <f t="shared" si="46"/>
        <v>55802.682330000003</v>
      </c>
      <c r="H111" s="185">
        <f t="shared" si="46"/>
        <v>2.2770000000207347E-2</v>
      </c>
      <c r="I111" s="186">
        <f t="shared" si="27"/>
        <v>4.0804490140544658E-5</v>
      </c>
      <c r="J111" s="184">
        <f>J8+J17+J25+J34+J35+J40+J45+J50+J54+J59+J63+J69+J76+J77+J82+J85+J90+J97+J98+J99+J104+J110</f>
        <v>56227.813569999998</v>
      </c>
      <c r="K111" s="184">
        <f>K8+K17+K25+K34+K35+K40+K45+K50+K54+K59+K63+K69+K76+K77+K82+K85+K90+K97+K98+K99+K104+K110</f>
        <v>69140.213399999979</v>
      </c>
      <c r="L111" s="185">
        <f>L8+L17+L25+L34+L35+L40+L45+L50+L54+L59+L63+L69+L76+L77+L82+L85+L90+L97+L98+L99+L104+L110</f>
        <v>-12912.399829999993</v>
      </c>
      <c r="M111" s="187">
        <f>J111/K111*100-100</f>
        <v>-18.675672513906335</v>
      </c>
      <c r="N111" s="184">
        <f>N8+N17+N25+N34+N35+N40+N45+N50+N54+N59+N63+N69+N76+N77+N82+N85+N90+N97+N98+N99+N104+N110</f>
        <v>57533.878000000012</v>
      </c>
      <c r="O111" s="184">
        <f>O8+O17+O25+O34+O35+O40+O45+O50+O54+O59+O63+O69+O76+O77+O82+O85+O90+O97+O98+O99+O104+O110</f>
        <v>67938.746900000013</v>
      </c>
      <c r="P111" s="185">
        <f>P8+P17+P25+P34+P35+P40+P45+P50+P54+P59+P63+P69+P76+P77+P82+P85+P90+P97+P98+P99+P104+P110</f>
        <v>-10404.868899999994</v>
      </c>
      <c r="Q111" s="188">
        <f t="shared" si="31"/>
        <v>-15.315073319375571</v>
      </c>
      <c r="R111" s="183">
        <f>R8+R17+R25+R34+R35+R40+R45+R50+R54+R59+R63+R69+R76+R77+R82+R85+R90+R97+R98+R99+R104+R110</f>
        <v>77421.876500000013</v>
      </c>
      <c r="S111" s="183">
        <f>S8+S17+S25+S34+S35+S40+S45+S50+S54+S59+S63+S69+S76+S77+S82+S85+S90+S97+S98+S99+S104+S110</f>
        <v>77393.304499999984</v>
      </c>
    </row>
    <row r="112" spans="1:19" hidden="1" x14ac:dyDescent="0.25">
      <c r="A112" s="132" t="s">
        <v>367</v>
      </c>
      <c r="J112" s="189">
        <f>135.8766+18.226+2845.4224+10.9559+224.627+12.7167+444.4174+36.6211+541.0829+143.586+112.1319</f>
        <v>4525.6639000000005</v>
      </c>
      <c r="N112" s="189">
        <f>132.9944+18.226+2910.1286+10.9559+219.8711+12.4403+454.4565+36.6211+550.8173+139.6993+112.1164</f>
        <v>4598.3269</v>
      </c>
    </row>
    <row r="113" spans="1:19" hidden="1" x14ac:dyDescent="0.25">
      <c r="A113" s="132" t="s">
        <v>368</v>
      </c>
      <c r="J113" s="190">
        <f>J111+J112</f>
        <v>60753.477469999998</v>
      </c>
      <c r="N113" s="190">
        <f>N111+N112</f>
        <v>62132.204900000012</v>
      </c>
      <c r="R113" s="191">
        <f>R111-P117-P118</f>
        <v>77353.29250000001</v>
      </c>
      <c r="S113" s="191">
        <f>S111-Q118</f>
        <v>77393.304499999984</v>
      </c>
    </row>
    <row r="114" spans="1:19" hidden="1" x14ac:dyDescent="0.25"/>
    <row r="115" spans="1:19" hidden="1" x14ac:dyDescent="0.25"/>
    <row r="116" spans="1:19" hidden="1" x14ac:dyDescent="0.25"/>
    <row r="117" spans="1:19" hidden="1" x14ac:dyDescent="0.25">
      <c r="O117" s="192"/>
      <c r="P117" s="132">
        <v>67.784000000000006</v>
      </c>
    </row>
    <row r="118" spans="1:19" hidden="1" x14ac:dyDescent="0.25">
      <c r="O118" s="193"/>
      <c r="P118" s="132">
        <v>0.8</v>
      </c>
    </row>
    <row r="119" spans="1:19" hidden="1" x14ac:dyDescent="0.25"/>
  </sheetData>
  <mergeCells count="19">
    <mergeCell ref="R4:S4"/>
    <mergeCell ref="A5:A6"/>
    <mergeCell ref="B5:B6"/>
    <mergeCell ref="C5:C6"/>
    <mergeCell ref="D5:D6"/>
    <mergeCell ref="E5:E6"/>
    <mergeCell ref="F5:F6"/>
    <mergeCell ref="G5:G6"/>
    <mergeCell ref="P5:Q5"/>
    <mergeCell ref="R5:R6"/>
    <mergeCell ref="S5:S6"/>
    <mergeCell ref="H5:I5"/>
    <mergeCell ref="J5:J6"/>
    <mergeCell ref="K5:K6"/>
    <mergeCell ref="L5:M5"/>
    <mergeCell ref="N5:N6"/>
    <mergeCell ref="O5:O6"/>
    <mergeCell ref="A3:Q3"/>
    <mergeCell ref="P4:Q4"/>
  </mergeCells>
  <pageMargins left="0.39370078740157483" right="0.39370078740157483" top="0.74803149606299213" bottom="0.59055118110236227" header="0.31496062992125984" footer="0.31496062992125984"/>
  <pageSetup paperSize="9" scale="70" fitToHeight="0" orientation="landscape" r:id="rId1"/>
  <headerFooter>
    <oddFooter>&amp;CСтраница &amp;P из &amp;N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workbookViewId="0">
      <selection activeCell="A3" sqref="A3:M3"/>
    </sheetView>
  </sheetViews>
  <sheetFormatPr defaultColWidth="9.109375" defaultRowHeight="13.8" x14ac:dyDescent="0.3"/>
  <cols>
    <col min="1" max="1" width="57.33203125" style="203" customWidth="1"/>
    <col min="2" max="7" width="12.33203125" style="204" bestFit="1" customWidth="1"/>
    <col min="8" max="11" width="10.109375" style="204" bestFit="1" customWidth="1"/>
    <col min="12" max="12" width="10.109375" style="204" customWidth="1"/>
    <col min="13" max="16384" width="9.109375" style="204"/>
  </cols>
  <sheetData>
    <row r="1" spans="1:13" x14ac:dyDescent="0.3">
      <c r="K1" s="275" t="s">
        <v>411</v>
      </c>
      <c r="L1" s="276"/>
      <c r="M1" s="276"/>
    </row>
    <row r="3" spans="1:13" s="203" customFormat="1" ht="30.75" customHeight="1" x14ac:dyDescent="0.3">
      <c r="A3" s="277" t="s">
        <v>370</v>
      </c>
      <c r="B3" s="277"/>
      <c r="C3" s="277"/>
      <c r="D3" s="277"/>
      <c r="E3" s="277"/>
      <c r="F3" s="277"/>
      <c r="G3" s="277"/>
      <c r="H3" s="277"/>
      <c r="I3" s="277"/>
      <c r="J3" s="277"/>
      <c r="K3" s="277"/>
      <c r="L3" s="277"/>
      <c r="M3" s="277"/>
    </row>
    <row r="4" spans="1:13" s="203" customFormat="1" ht="14.4" thickBot="1" x14ac:dyDescent="0.3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</row>
    <row r="5" spans="1:13" s="203" customFormat="1" ht="29.25" customHeight="1" thickTop="1" x14ac:dyDescent="0.3">
      <c r="A5" s="250" t="s">
        <v>13</v>
      </c>
      <c r="B5" s="248" t="s">
        <v>406</v>
      </c>
      <c r="C5" s="248"/>
      <c r="D5" s="248"/>
      <c r="E5" s="248"/>
      <c r="F5" s="248"/>
      <c r="G5" s="248"/>
      <c r="H5" s="248" t="s">
        <v>371</v>
      </c>
      <c r="I5" s="248"/>
      <c r="J5" s="248"/>
      <c r="K5" s="248"/>
      <c r="L5" s="248"/>
      <c r="M5" s="249"/>
    </row>
    <row r="6" spans="1:13" s="198" customFormat="1" ht="66" x14ac:dyDescent="0.3">
      <c r="A6" s="251"/>
      <c r="B6" s="130" t="s">
        <v>372</v>
      </c>
      <c r="C6" s="130" t="s">
        <v>373</v>
      </c>
      <c r="D6" s="130" t="s">
        <v>374</v>
      </c>
      <c r="E6" s="130" t="s">
        <v>375</v>
      </c>
      <c r="F6" s="130" t="s">
        <v>376</v>
      </c>
      <c r="G6" s="130" t="s">
        <v>377</v>
      </c>
      <c r="H6" s="130" t="s">
        <v>378</v>
      </c>
      <c r="I6" s="197" t="s">
        <v>379</v>
      </c>
      <c r="J6" s="197" t="s">
        <v>380</v>
      </c>
      <c r="K6" s="197" t="s">
        <v>381</v>
      </c>
      <c r="L6" s="197" t="s">
        <v>382</v>
      </c>
      <c r="M6" s="131" t="s">
        <v>383</v>
      </c>
    </row>
    <row r="7" spans="1:13" s="198" customFormat="1" ht="13.2" x14ac:dyDescent="0.3">
      <c r="A7" s="129"/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1"/>
    </row>
    <row r="8" spans="1:13" x14ac:dyDescent="0.3">
      <c r="A8" s="205" t="s">
        <v>384</v>
      </c>
      <c r="B8" s="206">
        <v>62700.865689999999</v>
      </c>
      <c r="C8" s="206">
        <v>59252.151600000005</v>
      </c>
      <c r="D8" s="206">
        <v>57338.2</v>
      </c>
      <c r="E8" s="206">
        <v>11091.8</v>
      </c>
      <c r="F8" s="206">
        <v>11091.8</v>
      </c>
      <c r="G8" s="206">
        <v>10131.9</v>
      </c>
      <c r="H8" s="207">
        <f>3+1</f>
        <v>4</v>
      </c>
      <c r="I8" s="207">
        <f>2+1</f>
        <v>3</v>
      </c>
      <c r="J8" s="207">
        <f>1+2</f>
        <v>3</v>
      </c>
      <c r="K8" s="207">
        <f>1+2</f>
        <v>3</v>
      </c>
      <c r="L8" s="207">
        <f>2</f>
        <v>2</v>
      </c>
      <c r="M8" s="208">
        <v>1</v>
      </c>
    </row>
    <row r="9" spans="1:13" ht="27.6" x14ac:dyDescent="0.3">
      <c r="A9" s="205" t="s">
        <v>385</v>
      </c>
      <c r="B9" s="206">
        <v>42391.332539999996</v>
      </c>
      <c r="C9" s="206">
        <v>41486</v>
      </c>
      <c r="D9" s="206">
        <v>34334.199999999997</v>
      </c>
      <c r="E9" s="206">
        <v>400</v>
      </c>
      <c r="F9" s="206"/>
      <c r="G9" s="206"/>
      <c r="H9" s="207">
        <v>3</v>
      </c>
      <c r="I9" s="207">
        <v>4</v>
      </c>
      <c r="J9" s="207">
        <f>3+1</f>
        <v>4</v>
      </c>
      <c r="K9" s="207">
        <f>1</f>
        <v>1</v>
      </c>
      <c r="L9" s="207">
        <v>1</v>
      </c>
      <c r="M9" s="208"/>
    </row>
    <row r="10" spans="1:13" ht="27.6" x14ac:dyDescent="0.3">
      <c r="A10" s="205" t="s">
        <v>386</v>
      </c>
      <c r="B10" s="206">
        <v>305075.43477999995</v>
      </c>
      <c r="C10" s="206">
        <v>327011.79668999999</v>
      </c>
      <c r="D10" s="206">
        <v>298263.92089000001</v>
      </c>
      <c r="E10" s="206">
        <v>336143.43092000001</v>
      </c>
      <c r="F10" s="206">
        <v>344092.65380000003</v>
      </c>
      <c r="G10" s="206">
        <v>292649.19999999995</v>
      </c>
      <c r="H10" s="207">
        <v>2</v>
      </c>
      <c r="I10" s="207">
        <v>2</v>
      </c>
      <c r="J10" s="207">
        <f>2</f>
        <v>2</v>
      </c>
      <c r="K10" s="207">
        <f>1+2</f>
        <v>3</v>
      </c>
      <c r="L10" s="207">
        <f>1+2</f>
        <v>3</v>
      </c>
      <c r="M10" s="208">
        <v>3</v>
      </c>
    </row>
    <row r="11" spans="1:13" x14ac:dyDescent="0.3">
      <c r="A11" s="205" t="s">
        <v>387</v>
      </c>
      <c r="B11" s="206">
        <v>3041068.5559999999</v>
      </c>
      <c r="C11" s="206">
        <v>2927196.8388200002</v>
      </c>
      <c r="D11" s="206">
        <v>3091959.73</v>
      </c>
      <c r="E11" s="206">
        <v>3168287.78</v>
      </c>
      <c r="F11" s="206">
        <v>3183431.7000000007</v>
      </c>
      <c r="G11" s="206">
        <v>2734898.8000000003</v>
      </c>
      <c r="H11" s="207">
        <v>77</v>
      </c>
      <c r="I11" s="207">
        <v>73</v>
      </c>
      <c r="J11" s="207">
        <f>62+8</f>
        <v>70</v>
      </c>
      <c r="K11" s="207">
        <f>58+10</f>
        <v>68</v>
      </c>
      <c r="L11" s="207">
        <f>54+10</f>
        <v>64</v>
      </c>
      <c r="M11" s="208">
        <v>64</v>
      </c>
    </row>
    <row r="12" spans="1:13" x14ac:dyDescent="0.3">
      <c r="A12" s="199" t="s">
        <v>388</v>
      </c>
      <c r="B12" s="58"/>
      <c r="C12" s="206"/>
      <c r="D12" s="206"/>
      <c r="E12" s="206"/>
      <c r="F12" s="206">
        <v>0</v>
      </c>
      <c r="G12" s="206">
        <v>3236.6</v>
      </c>
      <c r="H12" s="207"/>
      <c r="I12" s="207"/>
      <c r="J12" s="207"/>
      <c r="K12" s="207"/>
      <c r="L12" s="207"/>
      <c r="M12" s="208">
        <v>1</v>
      </c>
    </row>
    <row r="13" spans="1:13" x14ac:dyDescent="0.3">
      <c r="A13" s="205" t="s">
        <v>389</v>
      </c>
      <c r="B13" s="206">
        <v>621175.80000000005</v>
      </c>
      <c r="C13" s="206">
        <v>654240.43220000004</v>
      </c>
      <c r="D13" s="206">
        <v>684595.21270000003</v>
      </c>
      <c r="E13" s="206">
        <v>715948.5</v>
      </c>
      <c r="F13" s="206">
        <v>716073.50000000012</v>
      </c>
      <c r="G13" s="206">
        <v>700652.5</v>
      </c>
      <c r="H13" s="207">
        <v>18</v>
      </c>
      <c r="I13" s="207">
        <v>19</v>
      </c>
      <c r="J13" s="207">
        <f>17+2</f>
        <v>19</v>
      </c>
      <c r="K13" s="207">
        <f>19+2</f>
        <v>21</v>
      </c>
      <c r="L13" s="207">
        <f>20+2</f>
        <v>22</v>
      </c>
      <c r="M13" s="208">
        <v>21</v>
      </c>
    </row>
    <row r="14" spans="1:13" x14ac:dyDescent="0.3">
      <c r="A14" s="205" t="s">
        <v>390</v>
      </c>
      <c r="B14" s="206"/>
      <c r="C14" s="206"/>
      <c r="D14" s="206"/>
      <c r="E14" s="206">
        <v>288431.90000000002</v>
      </c>
      <c r="F14" s="206">
        <v>288431.90000000002</v>
      </c>
      <c r="G14" s="206">
        <v>314957.99999762001</v>
      </c>
      <c r="H14" s="207"/>
      <c r="I14" s="207"/>
      <c r="J14" s="207"/>
      <c r="K14" s="207"/>
      <c r="L14" s="207">
        <f>1+2</f>
        <v>3</v>
      </c>
      <c r="M14" s="200">
        <v>3</v>
      </c>
    </row>
    <row r="15" spans="1:13" x14ac:dyDescent="0.3">
      <c r="A15" s="205" t="s">
        <v>391</v>
      </c>
      <c r="B15" s="206">
        <v>3885868.7927600001</v>
      </c>
      <c r="C15" s="206">
        <v>3748722.7676200001</v>
      </c>
      <c r="D15" s="206">
        <v>3699160.46704</v>
      </c>
      <c r="E15" s="206">
        <v>3399525.4291699999</v>
      </c>
      <c r="F15" s="206">
        <v>3393946.689999999</v>
      </c>
      <c r="G15" s="206">
        <v>3177373.4963371879</v>
      </c>
      <c r="H15" s="207">
        <v>101</v>
      </c>
      <c r="I15" s="207">
        <v>97</v>
      </c>
      <c r="J15" s="207">
        <f>74+17</f>
        <v>91</v>
      </c>
      <c r="K15" s="207">
        <f>73+17</f>
        <v>90</v>
      </c>
      <c r="L15" s="207">
        <f>73+17</f>
        <v>90</v>
      </c>
      <c r="M15" s="208">
        <v>89</v>
      </c>
    </row>
    <row r="16" spans="1:13" ht="27.6" x14ac:dyDescent="0.3">
      <c r="A16" s="205" t="s">
        <v>392</v>
      </c>
      <c r="B16" s="206">
        <v>12492.2</v>
      </c>
      <c r="C16" s="206">
        <v>614.5</v>
      </c>
      <c r="D16" s="206">
        <v>614.6</v>
      </c>
      <c r="E16" s="206">
        <v>614.6</v>
      </c>
      <c r="F16" s="206">
        <v>614.6</v>
      </c>
      <c r="G16" s="206">
        <v>614.6</v>
      </c>
      <c r="H16" s="207"/>
      <c r="I16" s="207">
        <v>2</v>
      </c>
      <c r="J16" s="207">
        <f>2</f>
        <v>2</v>
      </c>
      <c r="K16" s="207">
        <f>2</f>
        <v>2</v>
      </c>
      <c r="L16" s="207">
        <f>2</f>
        <v>2</v>
      </c>
      <c r="M16" s="208">
        <v>1</v>
      </c>
    </row>
    <row r="17" spans="1:13" x14ac:dyDescent="0.3">
      <c r="A17" s="199" t="s">
        <v>393</v>
      </c>
      <c r="B17" s="58">
        <v>24929</v>
      </c>
      <c r="C17" s="206">
        <v>23872.7</v>
      </c>
      <c r="D17" s="206">
        <v>33982.400000000001</v>
      </c>
      <c r="E17" s="206">
        <v>35528.1</v>
      </c>
      <c r="F17" s="206">
        <v>35528.1</v>
      </c>
      <c r="G17" s="206">
        <v>60339.8</v>
      </c>
      <c r="H17" s="207">
        <v>1</v>
      </c>
      <c r="I17" s="207">
        <v>1</v>
      </c>
      <c r="J17" s="207">
        <f>1</f>
        <v>1</v>
      </c>
      <c r="K17" s="207">
        <f>2</f>
        <v>2</v>
      </c>
      <c r="L17" s="207">
        <f>1</f>
        <v>1</v>
      </c>
      <c r="M17" s="208">
        <v>1</v>
      </c>
    </row>
    <row r="18" spans="1:13" x14ac:dyDescent="0.3">
      <c r="A18" s="205" t="s">
        <v>394</v>
      </c>
      <c r="B18" s="206">
        <v>11270</v>
      </c>
      <c r="C18" s="206">
        <v>7325.4</v>
      </c>
      <c r="D18" s="206">
        <v>8105.9989999999998</v>
      </c>
      <c r="E18" s="206">
        <v>7032.2</v>
      </c>
      <c r="F18" s="206">
        <v>7032.2090000000007</v>
      </c>
      <c r="G18" s="206">
        <v>13369.55</v>
      </c>
      <c r="H18" s="207">
        <v>1</v>
      </c>
      <c r="I18" s="207">
        <v>1</v>
      </c>
      <c r="J18" s="207">
        <v>1</v>
      </c>
      <c r="K18" s="207">
        <v>1</v>
      </c>
      <c r="L18" s="207">
        <v>1</v>
      </c>
      <c r="M18" s="208">
        <v>1</v>
      </c>
    </row>
    <row r="19" spans="1:13" x14ac:dyDescent="0.3">
      <c r="A19" s="205" t="s">
        <v>395</v>
      </c>
      <c r="B19" s="206">
        <v>31752.2</v>
      </c>
      <c r="C19" s="206">
        <v>33967.800000000003</v>
      </c>
      <c r="D19" s="206">
        <v>34265.300000000003</v>
      </c>
      <c r="E19" s="206"/>
      <c r="F19" s="206"/>
      <c r="G19" s="206"/>
      <c r="H19" s="207">
        <v>1</v>
      </c>
      <c r="I19" s="207">
        <v>1</v>
      </c>
      <c r="J19" s="207">
        <f>1</f>
        <v>1</v>
      </c>
      <c r="K19" s="207">
        <f>1</f>
        <v>1</v>
      </c>
      <c r="L19" s="207"/>
      <c r="M19" s="208"/>
    </row>
    <row r="20" spans="1:13" ht="27.6" x14ac:dyDescent="0.3">
      <c r="A20" s="205" t="s">
        <v>396</v>
      </c>
      <c r="B20" s="206">
        <v>1550144.004</v>
      </c>
      <c r="C20" s="206">
        <v>1618408.4</v>
      </c>
      <c r="D20" s="206">
        <v>1665019.9369999999</v>
      </c>
      <c r="E20" s="206">
        <v>1659296.0834000001</v>
      </c>
      <c r="F20" s="206">
        <v>1659624.32</v>
      </c>
      <c r="G20" s="206">
        <v>1561283.2999999998</v>
      </c>
      <c r="H20" s="207">
        <v>60</v>
      </c>
      <c r="I20" s="207">
        <v>60</v>
      </c>
      <c r="J20" s="207">
        <f>54+2</f>
        <v>56</v>
      </c>
      <c r="K20" s="207">
        <f>52+2</f>
        <v>54</v>
      </c>
      <c r="L20" s="207">
        <f>53+3</f>
        <v>56</v>
      </c>
      <c r="M20" s="208">
        <v>56</v>
      </c>
    </row>
    <row r="21" spans="1:13" x14ac:dyDescent="0.3">
      <c r="A21" s="205" t="s">
        <v>397</v>
      </c>
      <c r="B21" s="206"/>
      <c r="C21" s="206">
        <v>4821.2</v>
      </c>
      <c r="D21" s="206"/>
      <c r="E21" s="206"/>
      <c r="F21" s="206"/>
      <c r="G21" s="206"/>
      <c r="H21" s="207"/>
      <c r="I21" s="207"/>
      <c r="J21" s="207">
        <f>1</f>
        <v>1</v>
      </c>
      <c r="K21" s="207"/>
      <c r="L21" s="207"/>
      <c r="M21" s="208"/>
    </row>
    <row r="22" spans="1:13" ht="27.6" x14ac:dyDescent="0.3">
      <c r="A22" s="205" t="s">
        <v>398</v>
      </c>
      <c r="B22" s="206">
        <v>154029.5</v>
      </c>
      <c r="C22" s="206">
        <v>144382.29999999999</v>
      </c>
      <c r="D22" s="206">
        <v>155048</v>
      </c>
      <c r="E22" s="206">
        <v>165553.5</v>
      </c>
      <c r="F22" s="206">
        <v>165553.5</v>
      </c>
      <c r="G22" s="206">
        <v>146365.1</v>
      </c>
      <c r="H22" s="207">
        <v>3</v>
      </c>
      <c r="I22" s="207">
        <v>3</v>
      </c>
      <c r="J22" s="207">
        <f>3</f>
        <v>3</v>
      </c>
      <c r="K22" s="207">
        <f>3</f>
        <v>3</v>
      </c>
      <c r="L22" s="207">
        <f>3</f>
        <v>3</v>
      </c>
      <c r="M22" s="208">
        <v>3</v>
      </c>
    </row>
    <row r="23" spans="1:13" ht="26.4" x14ac:dyDescent="0.3">
      <c r="A23" s="199" t="s">
        <v>399</v>
      </c>
      <c r="B23" s="58">
        <v>299310.40472000005</v>
      </c>
      <c r="C23" s="206">
        <v>369316.2</v>
      </c>
      <c r="D23" s="206">
        <v>338420.53058999998</v>
      </c>
      <c r="E23" s="206">
        <v>305051.8</v>
      </c>
      <c r="F23" s="206">
        <v>305051.8</v>
      </c>
      <c r="G23" s="206">
        <v>262900.8</v>
      </c>
      <c r="H23" s="207">
        <v>8</v>
      </c>
      <c r="I23" s="207">
        <v>9</v>
      </c>
      <c r="J23" s="207">
        <f>1+7</f>
        <v>8</v>
      </c>
      <c r="K23" s="207">
        <f>8</f>
        <v>8</v>
      </c>
      <c r="L23" s="207">
        <f>4</f>
        <v>4</v>
      </c>
      <c r="M23" s="208">
        <v>3</v>
      </c>
    </row>
    <row r="24" spans="1:13" x14ac:dyDescent="0.3">
      <c r="A24" s="205" t="s">
        <v>400</v>
      </c>
      <c r="B24" s="206">
        <v>57373.024530000002</v>
      </c>
      <c r="C24" s="206">
        <v>130613</v>
      </c>
      <c r="D24" s="206">
        <v>180832.88597999999</v>
      </c>
      <c r="E24" s="206">
        <v>49545.1</v>
      </c>
      <c r="F24" s="206">
        <v>49545.1</v>
      </c>
      <c r="G24" s="206">
        <v>54377.7</v>
      </c>
      <c r="H24" s="207">
        <v>2</v>
      </c>
      <c r="I24" s="207">
        <v>3</v>
      </c>
      <c r="J24" s="207">
        <f>2</f>
        <v>2</v>
      </c>
      <c r="K24" s="207">
        <f>2</f>
        <v>2</v>
      </c>
      <c r="L24" s="207">
        <f>5</f>
        <v>5</v>
      </c>
      <c r="M24" s="208">
        <v>5</v>
      </c>
    </row>
    <row r="25" spans="1:13" ht="27.6" x14ac:dyDescent="0.3">
      <c r="A25" s="205" t="s">
        <v>401</v>
      </c>
      <c r="B25" s="206"/>
      <c r="C25" s="206">
        <v>14984.1</v>
      </c>
      <c r="D25" s="206">
        <v>13233.42</v>
      </c>
      <c r="E25" s="206"/>
      <c r="F25" s="206"/>
      <c r="G25" s="206"/>
      <c r="H25" s="207"/>
      <c r="I25" s="207"/>
      <c r="J25" s="207">
        <v>1</v>
      </c>
      <c r="K25" s="207">
        <v>1</v>
      </c>
      <c r="L25" s="207"/>
      <c r="M25" s="208"/>
    </row>
    <row r="26" spans="1:13" x14ac:dyDescent="0.3">
      <c r="A26" s="205" t="s">
        <v>402</v>
      </c>
      <c r="B26" s="206">
        <v>7164.8</v>
      </c>
      <c r="C26" s="206">
        <v>6826</v>
      </c>
      <c r="D26" s="206">
        <v>7447.9</v>
      </c>
      <c r="E26" s="206"/>
      <c r="F26" s="206"/>
      <c r="G26" s="206"/>
      <c r="H26" s="207"/>
      <c r="I26" s="207"/>
      <c r="J26" s="207">
        <f>1</f>
        <v>1</v>
      </c>
      <c r="K26" s="207"/>
      <c r="L26" s="207"/>
      <c r="M26" s="208"/>
    </row>
    <row r="27" spans="1:13" ht="27.6" x14ac:dyDescent="0.3">
      <c r="A27" s="205" t="s">
        <v>403</v>
      </c>
      <c r="B27" s="206">
        <v>34246.199999999997</v>
      </c>
      <c r="C27" s="206">
        <v>32178.2</v>
      </c>
      <c r="D27" s="206">
        <v>30504.799999999999</v>
      </c>
      <c r="E27" s="206">
        <v>30692.7</v>
      </c>
      <c r="F27" s="206">
        <v>30692.7</v>
      </c>
      <c r="G27" s="206">
        <v>30692.7</v>
      </c>
      <c r="H27" s="207">
        <v>19</v>
      </c>
      <c r="I27" s="207">
        <v>19</v>
      </c>
      <c r="J27" s="207">
        <f>19</f>
        <v>19</v>
      </c>
      <c r="K27" s="207">
        <v>19</v>
      </c>
      <c r="L27" s="207">
        <f>19</f>
        <v>19</v>
      </c>
      <c r="M27" s="208">
        <v>19</v>
      </c>
    </row>
    <row r="28" spans="1:13" x14ac:dyDescent="0.3">
      <c r="A28" s="199" t="s">
        <v>404</v>
      </c>
      <c r="B28" s="58"/>
      <c r="C28" s="206"/>
      <c r="D28" s="206">
        <v>10098.362999999999</v>
      </c>
      <c r="E28" s="206"/>
      <c r="F28" s="206"/>
      <c r="G28" s="206"/>
      <c r="H28" s="207"/>
      <c r="I28" s="207"/>
      <c r="J28" s="207">
        <f>1</f>
        <v>1</v>
      </c>
      <c r="K28" s="207"/>
      <c r="L28" s="207"/>
      <c r="M28" s="208"/>
    </row>
    <row r="29" spans="1:13" x14ac:dyDescent="0.3">
      <c r="A29" s="205" t="s">
        <v>405</v>
      </c>
      <c r="B29" s="206">
        <v>134766.1</v>
      </c>
      <c r="C29" s="206">
        <v>149109.29999999999</v>
      </c>
      <c r="D29" s="206">
        <v>155080.20000000001</v>
      </c>
      <c r="E29" s="206">
        <v>156344.6</v>
      </c>
      <c r="F29" s="206">
        <v>156344.6</v>
      </c>
      <c r="G29" s="206">
        <v>144772.60000000003</v>
      </c>
      <c r="H29" s="207">
        <v>24</v>
      </c>
      <c r="I29" s="207">
        <v>23</v>
      </c>
      <c r="J29" s="207">
        <f>23</f>
        <v>23</v>
      </c>
      <c r="K29" s="207">
        <f>23</f>
        <v>23</v>
      </c>
      <c r="L29" s="207">
        <f>23</f>
        <v>23</v>
      </c>
      <c r="M29" s="208">
        <v>23</v>
      </c>
    </row>
    <row r="30" spans="1:13" ht="14.4" thickBot="1" x14ac:dyDescent="0.35">
      <c r="A30" s="64" t="s">
        <v>137</v>
      </c>
      <c r="B30" s="65">
        <f>SUM(B8:B29)</f>
        <v>10275758.215020001</v>
      </c>
      <c r="C30" s="65">
        <f>SUM(C8:C29)</f>
        <v>10294329.086929999</v>
      </c>
      <c r="D30" s="65">
        <f t="shared" ref="D30:M30" si="0">SUM(D8:D29)</f>
        <v>10498306.066200001</v>
      </c>
      <c r="E30" s="65">
        <f t="shared" si="0"/>
        <v>10329487.523489999</v>
      </c>
      <c r="F30" s="65">
        <f t="shared" si="0"/>
        <v>10347055.172799997</v>
      </c>
      <c r="G30" s="65">
        <f t="shared" si="0"/>
        <v>9508616.6463348046</v>
      </c>
      <c r="H30" s="201">
        <f t="shared" si="0"/>
        <v>324</v>
      </c>
      <c r="I30" s="201">
        <f t="shared" si="0"/>
        <v>320</v>
      </c>
      <c r="J30" s="201">
        <f t="shared" si="0"/>
        <v>309</v>
      </c>
      <c r="K30" s="201">
        <f t="shared" si="0"/>
        <v>302</v>
      </c>
      <c r="L30" s="201">
        <f t="shared" si="0"/>
        <v>299</v>
      </c>
      <c r="M30" s="202">
        <f t="shared" si="0"/>
        <v>294</v>
      </c>
    </row>
    <row r="31" spans="1:13" ht="14.4" thickTop="1" x14ac:dyDescent="0.3">
      <c r="H31" s="209"/>
      <c r="I31" s="209"/>
      <c r="J31" s="209"/>
      <c r="K31" s="209"/>
      <c r="L31" s="209"/>
    </row>
  </sheetData>
  <mergeCells count="5">
    <mergeCell ref="K1:M1"/>
    <mergeCell ref="A3:M3"/>
    <mergeCell ref="A5:A6"/>
    <mergeCell ref="B5:G5"/>
    <mergeCell ref="H5:M5"/>
  </mergeCells>
  <pageMargins left="0.78740157480314965" right="0.39370078740157483" top="0.59055118110236227" bottom="0.59055118110236227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Приложение 3.1 </vt:lpstr>
      <vt:lpstr>Приложение 4.1</vt:lpstr>
      <vt:lpstr>Приложение 6.1</vt:lpstr>
      <vt:lpstr>Прилоежние 6.2</vt:lpstr>
      <vt:lpstr>Приложение 6.3</vt:lpstr>
      <vt:lpstr>Приложение 7.1</vt:lpstr>
      <vt:lpstr>'Прилоежние 6.2'!Заголовки_для_печати</vt:lpstr>
      <vt:lpstr>'Приложение 3.1 '!Заголовки_для_печати</vt:lpstr>
      <vt:lpstr>'Приложение 6.3'!Заголовки_для_печати</vt:lpstr>
      <vt:lpstr>'Прилоежние 6.2'!Область_печати</vt:lpstr>
      <vt:lpstr>'Приложение 3.1 '!Область_печати</vt:lpstr>
      <vt:lpstr>'Приложение 4.1'!Область_печати</vt:lpstr>
      <vt:lpstr>'Приложение 6.3'!Область_печати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Пономарёва</dc:creator>
  <cp:lastModifiedBy>Сергей Калинин</cp:lastModifiedBy>
  <cp:lastPrinted>2016-11-23T09:18:31Z</cp:lastPrinted>
  <dcterms:created xsi:type="dcterms:W3CDTF">2013-10-21T15:19:43Z</dcterms:created>
  <dcterms:modified xsi:type="dcterms:W3CDTF">2016-11-23T09:32:04Z</dcterms:modified>
</cp:coreProperties>
</file>