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Документы\2016 год\Проверки 2016\2016.11_Налоговые льготы\"/>
    </mc:Choice>
  </mc:AlternateContent>
  <bookViews>
    <workbookView xWindow="192" yWindow="84" windowWidth="18888" windowHeight="6624" firstSheet="2" activeTab="4"/>
  </bookViews>
  <sheets>
    <sheet name="Приложение № 1" sheetId="2" r:id="rId1"/>
    <sheet name="Приложение № 2" sheetId="3" r:id="rId2"/>
    <sheet name="Прилоежние № 3" sheetId="4" r:id="rId3"/>
    <sheet name="Приложение № 4" sheetId="5" r:id="rId4"/>
    <sheet name="Приложение № 5" sheetId="7" r:id="rId5"/>
    <sheet name="Приложение № 6" sheetId="6" r:id="rId6"/>
  </sheets>
  <definedNames>
    <definedName name="_xlnm.Print_Titles" localSheetId="2">'Прилоежние № 3'!$5:$6</definedName>
    <definedName name="_xlnm.Print_Titles" localSheetId="0">'Приложение № 1'!$5:$6</definedName>
    <definedName name="_xlnm.Print_Titles" localSheetId="3">'Приложение № 4'!$5:$7</definedName>
  </definedNames>
  <calcPr calcId="152511"/>
</workbook>
</file>

<file path=xl/calcChain.xml><?xml version="1.0" encoding="utf-8"?>
<calcChain xmlns="http://schemas.openxmlformats.org/spreadsheetml/2006/main">
  <c r="E42" i="6" l="1"/>
  <c r="M40" i="6"/>
  <c r="N26" i="6"/>
  <c r="M26" i="6"/>
  <c r="R7" i="7"/>
  <c r="Q7" i="7"/>
  <c r="P7" i="7"/>
  <c r="O7" i="7"/>
  <c r="L7" i="7"/>
  <c r="K7" i="7"/>
  <c r="J7" i="7"/>
  <c r="Z7" i="7" s="1"/>
  <c r="I7" i="7"/>
  <c r="M7" i="7" l="1"/>
  <c r="S7" i="7"/>
  <c r="U7" i="7"/>
  <c r="V7" i="7"/>
  <c r="R8" i="7"/>
  <c r="W7" i="7"/>
  <c r="I22" i="7"/>
  <c r="R21" i="7"/>
  <c r="Q21" i="7"/>
  <c r="P21" i="7"/>
  <c r="O21" i="7"/>
  <c r="L21" i="7"/>
  <c r="K21" i="7"/>
  <c r="J21" i="7"/>
  <c r="Z21" i="7" s="1"/>
  <c r="I21" i="7"/>
  <c r="O20" i="7"/>
  <c r="I20" i="7"/>
  <c r="G19" i="7"/>
  <c r="F19" i="7"/>
  <c r="E19" i="7"/>
  <c r="Z18" i="7"/>
  <c r="AC18" i="7" s="1"/>
  <c r="U18" i="7"/>
  <c r="R18" i="7"/>
  <c r="W18" i="7" s="1"/>
  <c r="Q18" i="7"/>
  <c r="M18" i="7"/>
  <c r="P15" i="7"/>
  <c r="Z15" i="7" s="1"/>
  <c r="AC15" i="7" s="1"/>
  <c r="O15" i="7"/>
  <c r="W15" i="7" s="1"/>
  <c r="G15" i="7"/>
  <c r="F15" i="7"/>
  <c r="Q15" i="7" s="1"/>
  <c r="E15" i="7"/>
  <c r="D15" i="7"/>
  <c r="R13" i="7"/>
  <c r="Q13" i="7"/>
  <c r="P13" i="7"/>
  <c r="O13" i="7"/>
  <c r="L13" i="7"/>
  <c r="K13" i="7"/>
  <c r="J13" i="7"/>
  <c r="I13" i="7"/>
  <c r="R12" i="7"/>
  <c r="Q12" i="7"/>
  <c r="P12" i="7"/>
  <c r="O12" i="7"/>
  <c r="L12" i="7"/>
  <c r="AB12" i="7" s="1"/>
  <c r="K12" i="7"/>
  <c r="AA12" i="7" s="1"/>
  <c r="J12" i="7"/>
  <c r="Z12" i="7" s="1"/>
  <c r="I12" i="7"/>
  <c r="R11" i="7"/>
  <c r="Q11" i="7"/>
  <c r="P11" i="7"/>
  <c r="O11" i="7"/>
  <c r="L11" i="7"/>
  <c r="AB11" i="7" s="1"/>
  <c r="K11" i="7"/>
  <c r="J11" i="7"/>
  <c r="I11" i="7"/>
  <c r="X10" i="7"/>
  <c r="I10" i="7"/>
  <c r="R9" i="7"/>
  <c r="Q9" i="7"/>
  <c r="P9" i="7"/>
  <c r="O9" i="7"/>
  <c r="J9" i="7"/>
  <c r="I9" i="7"/>
  <c r="G9" i="7"/>
  <c r="L9" i="7" s="1"/>
  <c r="F9" i="7"/>
  <c r="K9" i="7" s="1"/>
  <c r="AC8" i="7"/>
  <c r="R10" i="7"/>
  <c r="AB7" i="7"/>
  <c r="AA7" i="7"/>
  <c r="AC7" i="7" l="1"/>
  <c r="X7" i="7"/>
  <c r="V11" i="7"/>
  <c r="W11" i="7"/>
  <c r="S18" i="7"/>
  <c r="V9" i="7"/>
  <c r="M11" i="7"/>
  <c r="Z9" i="7"/>
  <c r="W9" i="7"/>
  <c r="M12" i="7"/>
  <c r="S12" i="7"/>
  <c r="M13" i="7"/>
  <c r="S13" i="7"/>
  <c r="Z13" i="7"/>
  <c r="AC13" i="7" s="1"/>
  <c r="AA9" i="7"/>
  <c r="S9" i="7"/>
  <c r="S11" i="7"/>
  <c r="AA11" i="7"/>
  <c r="AC11" i="7" s="1"/>
  <c r="V12" i="7"/>
  <c r="V13" i="7"/>
  <c r="AB9" i="7"/>
  <c r="W12" i="7"/>
  <c r="R14" i="7"/>
  <c r="P10" i="7"/>
  <c r="U12" i="7"/>
  <c r="AA21" i="7"/>
  <c r="AB21" i="7"/>
  <c r="M21" i="7"/>
  <c r="S21" i="7"/>
  <c r="U21" i="7"/>
  <c r="M9" i="7"/>
  <c r="AC12" i="7"/>
  <c r="V15" i="7"/>
  <c r="S15" i="7"/>
  <c r="Q10" i="7"/>
  <c r="V18" i="7"/>
  <c r="X18" i="7" s="1"/>
  <c r="AD18" i="7" s="1"/>
  <c r="W13" i="7"/>
  <c r="U15" i="7"/>
  <c r="R19" i="7"/>
  <c r="W21" i="7"/>
  <c r="U13" i="7"/>
  <c r="K15" i="7"/>
  <c r="M15" i="7" s="1"/>
  <c r="V21" i="7"/>
  <c r="AC9" i="7" l="1"/>
  <c r="AC21" i="7"/>
  <c r="X12" i="7"/>
  <c r="X11" i="7"/>
  <c r="AD11" i="7" s="1"/>
  <c r="X15" i="7"/>
  <c r="X9" i="7"/>
  <c r="AD7" i="7" s="1"/>
  <c r="S10" i="7"/>
  <c r="X21" i="7"/>
  <c r="X13" i="7"/>
  <c r="AD13" i="7" s="1"/>
  <c r="K42" i="6" l="1"/>
  <c r="J42" i="6"/>
  <c r="H42" i="6"/>
  <c r="G42" i="6"/>
  <c r="N42" i="6"/>
  <c r="M42" i="6"/>
  <c r="D42" i="6"/>
  <c r="J41" i="6"/>
  <c r="H41" i="6"/>
  <c r="G41" i="6"/>
  <c r="N41" i="6"/>
  <c r="M41" i="6"/>
  <c r="E41" i="6"/>
  <c r="D41" i="6"/>
  <c r="K40" i="6"/>
  <c r="J40" i="6"/>
  <c r="H40" i="6"/>
  <c r="G40" i="6"/>
  <c r="N40" i="6"/>
  <c r="E40" i="6"/>
  <c r="D40" i="6"/>
  <c r="K39" i="6"/>
  <c r="J39" i="6"/>
  <c r="H39" i="6"/>
  <c r="G39" i="6"/>
  <c r="N39" i="6"/>
  <c r="M39" i="6"/>
  <c r="D39" i="6"/>
  <c r="K38" i="6"/>
  <c r="J38" i="6"/>
  <c r="H38" i="6"/>
  <c r="G38" i="6"/>
  <c r="N38" i="6"/>
  <c r="M38" i="6"/>
  <c r="E38" i="6"/>
  <c r="D38" i="6"/>
  <c r="K37" i="6"/>
  <c r="J37" i="6"/>
  <c r="H37" i="6"/>
  <c r="G37" i="6"/>
  <c r="J36" i="6"/>
  <c r="H36" i="6"/>
  <c r="G36" i="6"/>
  <c r="D36" i="6"/>
  <c r="J35" i="6"/>
  <c r="G35" i="6"/>
  <c r="N35" i="6"/>
  <c r="M35" i="6"/>
  <c r="D35" i="6"/>
  <c r="K33" i="6"/>
  <c r="J33" i="6"/>
  <c r="H33" i="6"/>
  <c r="G33" i="6"/>
  <c r="N33" i="6"/>
  <c r="M33" i="6"/>
  <c r="E33" i="6"/>
  <c r="D33" i="6"/>
  <c r="H32" i="6"/>
  <c r="G32" i="6"/>
  <c r="N32" i="6"/>
  <c r="M32" i="6"/>
  <c r="E32" i="6"/>
  <c r="K31" i="6"/>
  <c r="J31" i="6"/>
  <c r="H31" i="6"/>
  <c r="G31" i="6"/>
  <c r="N31" i="6"/>
  <c r="M31" i="6"/>
  <c r="E31" i="6"/>
  <c r="D31" i="6"/>
  <c r="K30" i="6"/>
  <c r="J30" i="6"/>
  <c r="H30" i="6"/>
  <c r="G30" i="6"/>
  <c r="N30" i="6"/>
  <c r="M30" i="6"/>
  <c r="E30" i="6"/>
  <c r="D30" i="6"/>
  <c r="K29" i="6"/>
  <c r="J29" i="6"/>
  <c r="H29" i="6"/>
  <c r="G29" i="6"/>
  <c r="N29" i="6"/>
  <c r="M29" i="6"/>
  <c r="E29" i="6"/>
  <c r="D29" i="6"/>
  <c r="H28" i="6"/>
  <c r="G28" i="6"/>
  <c r="N28" i="6"/>
  <c r="M28" i="6"/>
  <c r="K27" i="6"/>
  <c r="J27" i="6"/>
  <c r="H27" i="6"/>
  <c r="G27" i="6"/>
  <c r="N27" i="6"/>
  <c r="M27" i="6"/>
  <c r="D27" i="6"/>
  <c r="K26" i="6"/>
  <c r="J26" i="6"/>
  <c r="H26" i="6"/>
  <c r="G26" i="6"/>
  <c r="E26" i="6"/>
  <c r="D26" i="6"/>
  <c r="K24" i="6"/>
  <c r="J24" i="6"/>
  <c r="H24" i="6"/>
  <c r="G24" i="6"/>
  <c r="N24" i="6"/>
  <c r="M24" i="6"/>
  <c r="E24" i="6"/>
  <c r="D24" i="6"/>
  <c r="K23" i="6"/>
  <c r="J23" i="6"/>
  <c r="H23" i="6"/>
  <c r="G23" i="6"/>
  <c r="N23" i="6"/>
  <c r="M23" i="6"/>
  <c r="E23" i="6"/>
  <c r="D23" i="6"/>
  <c r="K22" i="6"/>
  <c r="J22" i="6"/>
  <c r="H22" i="6"/>
  <c r="G22" i="6"/>
  <c r="N22" i="6"/>
  <c r="M22" i="6"/>
  <c r="E22" i="6"/>
  <c r="D22" i="6"/>
  <c r="K21" i="6"/>
  <c r="J21" i="6"/>
  <c r="H21" i="6"/>
  <c r="G21" i="6"/>
  <c r="N21" i="6"/>
  <c r="M21" i="6"/>
  <c r="E21" i="6"/>
  <c r="D21" i="6"/>
  <c r="K20" i="6"/>
  <c r="J20" i="6"/>
  <c r="H20" i="6"/>
  <c r="G20" i="6"/>
  <c r="N20" i="6"/>
  <c r="M20" i="6"/>
  <c r="E20" i="6"/>
  <c r="D20" i="6"/>
  <c r="K19" i="6"/>
  <c r="J19" i="6"/>
  <c r="H19" i="6"/>
  <c r="G19" i="6"/>
  <c r="N19" i="6"/>
  <c r="M19" i="6"/>
  <c r="K18" i="6"/>
  <c r="J18" i="6"/>
  <c r="H18" i="6"/>
  <c r="G18" i="6"/>
  <c r="N18" i="6"/>
  <c r="M18" i="6"/>
  <c r="E18" i="6"/>
  <c r="D18" i="6"/>
  <c r="K17" i="6"/>
  <c r="J17" i="6"/>
  <c r="H17" i="6"/>
  <c r="G17" i="6"/>
  <c r="N17" i="6"/>
  <c r="M17" i="6"/>
  <c r="E17" i="6"/>
  <c r="D17" i="6"/>
</calcChain>
</file>

<file path=xl/comments1.xml><?xml version="1.0" encoding="utf-8"?>
<comments xmlns="http://schemas.openxmlformats.org/spreadsheetml/2006/main">
  <authors>
    <author>Автор</author>
  </authors>
  <commentList>
    <comment ref="O15" authorId="0" shapeId="0">
      <text>
        <r>
          <rPr>
            <b/>
            <sz val="9"/>
            <color indexed="81"/>
            <rFont val="Tahoma"/>
            <charset val="1"/>
          </rPr>
          <t>Автор:</t>
        </r>
        <r>
          <rPr>
            <sz val="9"/>
            <color indexed="81"/>
            <rFont val="Tahoma"/>
            <charset val="1"/>
          </rPr>
          <t xml:space="preserve">
С учетом необлагаемого имущества</t>
        </r>
      </text>
    </comment>
    <comment ref="P15" authorId="0" shapeId="0">
      <text>
        <r>
          <rPr>
            <b/>
            <sz val="9"/>
            <color indexed="81"/>
            <rFont val="Tahoma"/>
            <charset val="1"/>
          </rPr>
          <t>Автор:</t>
        </r>
        <r>
          <rPr>
            <sz val="9"/>
            <color indexed="81"/>
            <rFont val="Tahoma"/>
            <charset val="1"/>
          </rPr>
          <t xml:space="preserve">
С учетом необлагаемого имущества</t>
        </r>
      </text>
    </comment>
  </commentList>
</comments>
</file>

<file path=xl/comments2.xml><?xml version="1.0" encoding="utf-8"?>
<comments xmlns="http://schemas.openxmlformats.org/spreadsheetml/2006/main">
  <authors>
    <author>Автор</author>
  </authors>
  <commentList>
    <comment ref="C13" authorId="0" shapeId="0">
      <text>
        <r>
          <rPr>
            <b/>
            <sz val="9"/>
            <color indexed="81"/>
            <rFont val="Tahoma"/>
            <family val="2"/>
            <charset val="204"/>
          </rPr>
          <t>Автор:</t>
        </r>
        <r>
          <rPr>
            <sz val="9"/>
            <color indexed="81"/>
            <rFont val="Tahoma"/>
            <family val="2"/>
            <charset val="204"/>
          </rPr>
          <t xml:space="preserve">
Средняя арифметическая из 3-х видов продукции</t>
        </r>
      </text>
    </comment>
  </commentList>
</comments>
</file>

<file path=xl/sharedStrings.xml><?xml version="1.0" encoding="utf-8"?>
<sst xmlns="http://schemas.openxmlformats.org/spreadsheetml/2006/main" count="335" uniqueCount="160">
  <si>
    <t>Объект налогообложения</t>
  </si>
  <si>
    <t>Налоговая ставка по периодам действия, %</t>
  </si>
  <si>
    <t>Основание</t>
  </si>
  <si>
    <t>01.01.2013 – 31.12.2013</t>
  </si>
  <si>
    <t>01.01.2014 – 31.03.2014</t>
  </si>
  <si>
    <t>01.04.2014 – н.в.</t>
  </si>
  <si>
    <t>Прибыль организаций, осуществляющих деятельность в сфере туризма и зарегистрированных на территории Архангельской области, при условии превышения выручки, полученной от приема туристов в Архангельской области, над остальной выручкой организации</t>
  </si>
  <si>
    <t>нет</t>
  </si>
  <si>
    <t>ст. 11 областного закона № 149-23-ОЗ (ред. от 17.10.2013)</t>
  </si>
  <si>
    <t>п. 1 ст. 1 областного закона от № 708-41-ОЗ</t>
  </si>
  <si>
    <r>
      <t xml:space="preserve">Прибыль организаций, осуществляющих инвестиционную деятельность и отвечающих одновременно требованиям, установленным </t>
    </r>
    <r>
      <rPr>
        <sz val="10"/>
        <rFont val="Arial"/>
        <family val="2"/>
        <charset val="204"/>
      </rPr>
      <t>пунктами 2</t>
    </r>
    <r>
      <rPr>
        <sz val="10"/>
        <color theme="1"/>
        <rFont val="Arial"/>
        <family val="2"/>
        <charset val="204"/>
      </rPr>
      <t xml:space="preserve">, </t>
    </r>
    <r>
      <rPr>
        <sz val="10"/>
        <rFont val="Arial"/>
        <family val="2"/>
        <charset val="204"/>
      </rPr>
      <t>3</t>
    </r>
    <r>
      <rPr>
        <sz val="10"/>
        <color theme="1"/>
        <rFont val="Arial"/>
        <family val="2"/>
        <charset val="204"/>
      </rPr>
      <t xml:space="preserve"> и </t>
    </r>
    <r>
      <rPr>
        <sz val="10"/>
        <rFont val="Arial"/>
        <family val="2"/>
        <charset val="204"/>
      </rPr>
      <t>5 ст. 3</t>
    </r>
    <r>
      <rPr>
        <sz val="10"/>
        <color theme="1"/>
        <rFont val="Arial"/>
        <family val="2"/>
        <charset val="204"/>
      </rPr>
      <t xml:space="preserve"> областного закона № 52-4-ОЗ (ред. от 30.09.2011), если суммарный прирост балансовой стоимости основных фондов организации, в результате осуществленных вложений в основные средства, начиная с первого числа календарного года периода осуществления вложений, составил от 30 % включительно до 50 %</t>
    </r>
  </si>
  <si>
    <r>
      <t xml:space="preserve">Прибыль организаций, осуществляющих инвестиционную деятельность и отвечающих одновременно требованиям, установленным </t>
    </r>
    <r>
      <rPr>
        <sz val="10"/>
        <rFont val="Arial"/>
        <family val="2"/>
        <charset val="204"/>
      </rPr>
      <t>пунктами 2</t>
    </r>
    <r>
      <rPr>
        <sz val="10"/>
        <color theme="1"/>
        <rFont val="Arial"/>
        <family val="2"/>
        <charset val="204"/>
      </rPr>
      <t xml:space="preserve">, </t>
    </r>
    <r>
      <rPr>
        <sz val="10"/>
        <rFont val="Arial"/>
        <family val="2"/>
        <charset val="204"/>
      </rPr>
      <t>3</t>
    </r>
    <r>
      <rPr>
        <sz val="10"/>
        <color theme="1"/>
        <rFont val="Arial"/>
        <family val="2"/>
        <charset val="204"/>
      </rPr>
      <t xml:space="preserve"> и </t>
    </r>
    <r>
      <rPr>
        <sz val="10"/>
        <rFont val="Arial"/>
        <family val="2"/>
        <charset val="204"/>
      </rPr>
      <t>5 ст. 3</t>
    </r>
    <r>
      <rPr>
        <sz val="10"/>
        <color theme="1"/>
        <rFont val="Arial"/>
        <family val="2"/>
        <charset val="204"/>
      </rPr>
      <t xml:space="preserve"> областного закона № 52-4-ОЗ (ред. от 30.09.2011), если суммарный прирост балансовой стоимости основных фондов организации, в результате осуществленных вложений в основные средства, начиная с первого числа календарного года периода осуществления вложений, составил от 50 % включительно до 75 %</t>
    </r>
  </si>
  <si>
    <r>
      <t xml:space="preserve">Прибыль организаций, осуществляющих инвестиционную деятельность и отвечающих одновременно требованиям, установленным </t>
    </r>
    <r>
      <rPr>
        <sz val="10"/>
        <rFont val="Arial"/>
        <family val="2"/>
        <charset val="204"/>
      </rPr>
      <t>пунктами 2</t>
    </r>
    <r>
      <rPr>
        <sz val="10"/>
        <color theme="1"/>
        <rFont val="Arial"/>
        <family val="2"/>
        <charset val="204"/>
      </rPr>
      <t xml:space="preserve">, </t>
    </r>
    <r>
      <rPr>
        <sz val="10"/>
        <rFont val="Arial"/>
        <family val="2"/>
        <charset val="204"/>
      </rPr>
      <t>3</t>
    </r>
    <r>
      <rPr>
        <sz val="10"/>
        <color theme="1"/>
        <rFont val="Arial"/>
        <family val="2"/>
        <charset val="204"/>
      </rPr>
      <t xml:space="preserve"> и </t>
    </r>
    <r>
      <rPr>
        <sz val="10"/>
        <rFont val="Arial"/>
        <family val="2"/>
        <charset val="204"/>
      </rPr>
      <t>5 ст. 3</t>
    </r>
    <r>
      <rPr>
        <sz val="10"/>
        <color theme="1"/>
        <rFont val="Arial"/>
        <family val="2"/>
        <charset val="204"/>
      </rPr>
      <t xml:space="preserve"> областного закона № 52-4-ОЗ (ред. от 30.09.2011), если суммарный прирост балансовой стоимости основных фондов организации, в результате осуществленных вложений в основные средства, начиная с первого числа календарного года периода осуществления вложений, составил более 75 % включительно</t>
    </r>
  </si>
  <si>
    <t>Условия применения</t>
  </si>
  <si>
    <t>Пункт 2 статьи 3: Право на применение ставок налога на прибыль организаций, предусмотренных пунктом 1 настоящей статьи, предоставляется организациям, осуществившим вложения в основные средства, используемые ими при осуществлении следующих видов экономической деятельности в соответствии с Общероссийским классификатором видов экономической деятельности ОК 029-2014 (КДЕС Ред. 2):
1) раздел А "Сельское, лесное хозяйство, охота, рыболовство и рыбоводство";
2) группа 08.92 "Добыча и агломерация торфа";
3) подгруппа 07.29.3 "Добыча и обогащение алюминийсодержащего сырья (бокситов и нефелин-апатитовых руд)";
4) подкласс 08.1 "Добыча камня, песка и глины";
5) раздел С "Обрабатывающие производства";
6) группа 35.11 "Производство электроэнергии";
7) подгруппа 35.12.1 "Передача электроэнергии";
8) группа 35.30 "Производство, передача и распределение пара и горячей воды; кондиционирование воздуха";
9) класс 36 "Забор, очистка и распределение воды";
10) класс 38 "Сбор, обработка и утилизация отходов; обработка вторичного сырья";
11) класс 50 "Деятельность водного транспорта";
12) подкласс 52.1 "Деятельность по складированию и хранению";
13) группа 52.22 "Деятельность вспомогательная, связанная с водным транспортом";
14) вид 52.23.11 "Деятельность аэропортовая";
15) группа 52.24 "Транспортная обработка грузов";
16) группа 52.29 "Деятельность вспомогательная прочая, связанная с перевозками";
17) подкласс 55.1 "Деятельность гостиниц и прочих мест для временного проживания";
18) подкласс 55.2 "Деятельность по предоставлению мест для краткосрочного проживания";
19) подкласс 55.9 "Деятельность по предоставлению прочих мест для временного проживания";
20) класс 58 "Деятельность издательская";
21) подгруппа 68.20.2 "Аренда и управление собственным или арендованным нежилым недвижимым имуществом";
22) группа 79.12 "Деятельность туроператоров";
23) подкласс 93.1 "Деятельность в области спорта"
Пункт 3 статьи 3: Право на применение ставок налога на прибыль организаций, предусмотренных настоящей статьей, возникает у организации начиная с первого числа первого месяца календарного года, следующего за календарным годом (двумя календарными годами), в котором (которых) сумма вложений составит не менее 50 миллионов рублей в течение года (двух календарных лет подряд)
Пункт 5 статьи 3: Право на применение предусмотренных настоящей статьей ставок налога на прибыль организаций предоставляется организациям, зарегистрированным в качестве юридического лица на территории Архангельской области и являющимся плательщиками налога на прибыль организаций на территории Архангельской области</t>
  </si>
  <si>
    <t>Превышение выручки, полученной от приема туристов в Архангельской области, над остальной выручкой организации</t>
  </si>
  <si>
    <t>Ставка налога на прибыль организаций, применяется ответственным участником к сумме прибыли участников консолидированной группы налогоплательщиков и (или) каждого из их обособленных подразделений, соответствующей их доле в совокупной прибыли этой группы, определенных в порядке, предусмотренном Налоговым кодексом Российской Федерации</t>
  </si>
  <si>
    <t>Налоговые льготы, установленные законодательством Архангельской области в отношении налога на прибыль организаций в части, зачисляемой в бюджет Архангельской области</t>
  </si>
  <si>
    <t>Приложение № 1</t>
  </si>
  <si>
    <t>Прибыль организаций - участников консолидированной группы налогоплательщиков, осуществляющих виды экономической деятельности в соответствии с Общероссийским классификатором видов экономической деятельности ОК 029-2001 (КДЕС Ред. 1) "Добыча алмазов" (вид 14.50.22) и (или) "Оптовая торговля драгоценными камнями" (подгруппа 51.56.3)</t>
  </si>
  <si>
    <t>Условия применения *</t>
  </si>
  <si>
    <t>* Условия применения льгот по налогу на прибыль организаций не изменялись в исследуемом периоде.</t>
  </si>
  <si>
    <t>Категория налогоплательщиков</t>
  </si>
  <si>
    <t>В случае, если объектом налогообложения являются доходы, уменьшенные на величину расходов - налогоплательщики, осуществляющие следующие виды экономической деятельности в соответствии с Общероссийским классификатором видов экономической деятельности ОК 029-2001 (КДЕС Ред. 1):
1) класс 01 "Сельское хозяйство, охота и предоставление услуг в этих областях";
2) класс 02 "Лесное хозяйство и предоставление услуг в этой области";
3) класс 05 "Рыболовство, рыбоводство и предоставление услуг в этих областях";
4) класс 15 "Производство пищевых продуктов, включая напитки";
5) класс 17 "Текстильное производство";
6) класс 18 "Производство одежды; выделка и крашение меха";
7) класс 20 "Обработка древесины и производство изделий из дерева и пробки, кроме мебели";
8) класс 25 "Производство резиновых и пластмассовых изделий";
9) класс 28 "Производство готовых металлических изделий";
10) класс 29 "Производство машин и оборудования";
11) класс 31 "Производство электрических машин и электрооборудования";
12) подкласс 36.1 "Производство мебели";
13) класс 37 "Обработка вторичного сырья";
14) класс 40 "Производство, передача и распределение электроэнергии, газа, пара и горячей воды";
15) класс 41 "Сбор, очистка и распределение воды";
16) класс 45 "Строительство";
17) класс 72 "Деятельность, связанная с использованием вычислительной техники и информационных технологий";
18) класс 73 "Научные исследования и разработки".</t>
  </si>
  <si>
    <t>01.01.2013 – 31.12.2014</t>
  </si>
  <si>
    <t>П. 1 ст. 1 областного закона № 392-26-ОЗ</t>
  </si>
  <si>
    <t>Право на применение при исчислении налога по итогам отчетного (налогового) периода налоговой ставки, установленной пунктом 1 настоящей статьи, имеют налогоплательщики, у которых среднемесячная заработная плата на одного наемного работника составляет не менее 1,5 величины прожиточного минимума в Архангельской области в целом для трудоспособного населения в первом квартале налогового периода, устанавливаемого в соответствии со статьей 4 областного закона от 19 сентября 2001 года N 64-8-ОЗ "О прожиточном минимуме в Архангельской области", и у которых в течение отчетного (налогового) периода не менее 70 процентов общего дохода от реализации товаров (работ, услуг), определяемого в соответствии со статьей 346.15 и подпунктами 1 и 3 пункта 1 статьи 346.25 Налогового кодекса Российской Федерации, составил доход от реализации товаров (работ, услуг), являющихся результатом осуществления налогоплательщиками видов экономической деятельности, указанных в пункте 1 настоящей статьи.</t>
  </si>
  <si>
    <t>07.04.2015 - 31.12.2015</t>
  </si>
  <si>
    <t>Индивидуальные предприниматели, осуществляющие виды предпринимательской деятельности:
1) Раздел А "Сельское хозяйство, охота и лесное хозяйство"
2) Раздел В "Рыболовство, рыбоводство"
3) Раздел D "Обрабатывающие производства"
4) Раздел Е "Производство и распределение электроэнергии, газа и воды"
5) Класс 73 "Научные исследования и разработки" раздела К
6) Раздел М "Образование"
7) Раздел N "Здравоохранение и предоставление социальных услуг"
8) Класс 92 "Деятельность по организации отдыха и развлечений, культуры и спорта" раздела О</t>
  </si>
  <si>
    <t>Ст. 1 областного закона № 262-15-ОЗ</t>
  </si>
  <si>
    <t>Приложение № 2</t>
  </si>
  <si>
    <t>Налоговые льготы, установленные законодательством Архангельской области в отношении налога, взимаемого в связи с применением упрощенной системы налогообложения</t>
  </si>
  <si>
    <t>Налоговые льготы, установленные законодательством Архангельской области в отношении налога на имущество организаций</t>
  </si>
  <si>
    <t>Категория налогоплательщиков / имущества</t>
  </si>
  <si>
    <t>Имущество организаций, осуществляющих производство сельскохозяйственной продукции, первичную и последующую (промышленную) переработку собственной сельскохозяйственной продукции и отвечающих критериям, предусмотренным пунктом 2 и подпунктом 1 пункта 2.1 статьи 346.2 НК РФ</t>
  </si>
  <si>
    <t>Статья 2 областного закона № 204-25-ОЗ</t>
  </si>
  <si>
    <t>В общем доходе от реализации товаров (работ, услуг) таких организаций и индивидуальных предпринимателей доля дохода от реализации произведенной ими сельскохозяйственной продукции, включая продукцию ее первичной переработки, произведенную ими из сельскохозяйственного сырья собственного производства, составляет не менее 70 процентов, а также сельскохозяйственные потребительские кооперативы (перерабатывающие, сбытовые (торговые), снабженческие, садоводческие, огороднические, животноводческие), признаваемые таковыми в соответствии с Федеральным законом от 8 декабря 1995 года N 193-ФЗ "О сельскохозяйственной кооперации", у которых доля доходов от реализации сельскохозяйственной продукции собственного производства членов данных кооперативов, включая продукцию первичной переработки, произведенную данными кооперативами из сельскохозяйственного сырья собственного производства членов этих кооперативов, а также от выполненных работ (услуг) для членов данных кооперативов составляет в общем доходе от реализации товаров (работ, услуг) не менее 70 процентов.
Градо- и поселкообразующие российские рыбохозяйственные организации, численность работающих в которых с учетом совместно проживающих с ними членов семей составляет не менее половины численности населения соответствующего населенного пункта и которые удовлетворяют следующим условиям: если в общем доходе от реализации товаров (работ, услуг) доля дохода от реализации их уловов водных биологических ресурсов и (или) произведенной собственными силами из них рыбной и иной продукции из водных биологических ресурсов составляет за налоговый период не менее 70 процентов; если они осуществляют рыболовство на судах рыбопромыслового флота, принадлежащих им на праве собственности, или используют их на основании договоров фрахтования (бербоут-чартера и тайм-чартера).</t>
  </si>
  <si>
    <t>Имущество организаций, заключивших соглашения о реструктуризации долгов в соответствии с Федеральным законом от 9 июля 2002 года N 83-ФЗ "О финансовом оздоровлении сельскохозяйственных товаропроизводителей"</t>
  </si>
  <si>
    <t>Указанная льготная ставка налога на имущество организаций применяется на период действия соглашения о реструктуризации долгов.
В случае расторжения соглашения о реструктуризации долгов действие льготной ставки налога на имущество организаций прекращается с начала налогового периода, в течение которого принято решение о расторжении соглашения.</t>
  </si>
  <si>
    <t>Имущество религиозных организаций</t>
  </si>
  <si>
    <t>Имущество областных (региональных и местных) общественных организаций инвалидов (в том числе созданных как союзы общественных организаций инвалидов), среди членов которых инвалиды и их законные представители составляют не менее 80 процентов, используемого ими для осуществления их уставной деятельности</t>
  </si>
  <si>
    <t>Имущество, учитываемое на балансе в качестве объектов основных средств организаций - участников консолидированной группы налогоплательщиков, осуществляющих виды экономической деятельности в соответствии с Общероссийским классификатором видов экономической деятельности ОК 029-2001 (КДЕС Ред. 1) "Добыча алмазов" (вид 14.50.22) и (или) "Оптовая торговля драгоценными камнями" (подгруппа 51.56.3)</t>
  </si>
  <si>
    <t>Право на применение ставки налога на имущество организаций предоставляется организациям, осуществившим вложения в основные средства, используемые при осуществлении ими следующих видов экономической деятельности в соответствии с Общероссийским классификатором видов экономической деятельности ОК 029-2001 (КДЕС Ред. 1): раздел A "Сельское хозяйство, охота и лесное хозяйство"; раздел B "Рыболовство, рыбоводство"; подкласс 10.3 "Добыча и агломерация торфа"; подгруппа 13.20.3 "Добыча и обогащение алюминийсодержащего сырья (бокситов и нефелин-апатитовых руд)"; подкласс 14.1 "Разработка каменных карьеров"; одкласс 14.2 "Добыча гравия, песка и глины"; раздел D "Обрабатывающие производства"; подгруппа 40.10.1 "Производство электроэнергии"; подгруппа 40.10.2 "Передача электроэнергии"; подкласс 40.3 "Производство, передача и распределение пара и горячей воды (тепловой энергии)"; класс 41 "Сбор, очистка и распределение воды"; подкласс 55.1 "Деятельность гостиниц"; подгруппа 55.23.2 "Деятельность пансионатов, домов отдыха и т.п."; класс 61 "Деятельность водного транспорта"; подкласс 63.1 "Транспортная обработка грузов и хранение"; группа 63.22 "Прочая вспомогательная деятельность водного транспорта"; подгруппа 63.23.1 "Деятельность терминалов (аэропортов и т.п.), управление аэропортами"; подгруппа 63.30.1 "Организация комплексного туристического обслуживания"; подкласс 63.4 "Организация перевозок грузов"; подгруппа 70.20.2 "Сдача внаем собственного нежилого недвижимого имущества"; подкласс 92.6 "Деятельность в области спорта".
Право на применение ставки налога на имущество организаций возникает у организации с первого числа календарного года, следующего за календарным годом (календарными годами), в котором (которых) сумма вложений составит не менее одного миллиарда рублей на протяжении любых трех календарных лет подряд начиная с 1 января 2009 года.</t>
  </si>
  <si>
    <t>то же</t>
  </si>
  <si>
    <t>01.01.2014 – 31.12.2015</t>
  </si>
  <si>
    <t>Налогоплательщики, впервые зарегистрированные в качестве индивидуальных предпринимателей после вступления в силу настоящего закона и вправе применять налоговую ставку в размере 0 % со дня их государственной регистрации в качестве индивидуальных предпринимателей непрерывно в течение двух налоговых периодов.</t>
  </si>
  <si>
    <t>Имущество, образованного в процессе инвестиционной деятельности, в случае соблюдения условий, предусмотренных статьей 2.1  областного закона № 204-25-ОЗ</t>
  </si>
  <si>
    <t>Налоговые льготы, установленные законодательством Архангельской области в отношении транспортного налога</t>
  </si>
  <si>
    <t>Приложение № 4</t>
  </si>
  <si>
    <t>Приложение № 3</t>
  </si>
  <si>
    <t>Организации, в которых численность работающих инвалидов составляет не менее 50 процентов от общей численности работающих</t>
  </si>
  <si>
    <t>Категория налогоплательщиков / объект налогообложения</t>
  </si>
  <si>
    <t>Общественные организации инвалидов, предприятия, учреждения и организации, находящиеся в их собственности, хозяйственные общества и товарищества, уставный капитал которых полностью состоит из вклада общественных организаций инвалидов, по всем видам деятельности, за исключением торговли алкогольной продукцией и табачными изделиями</t>
  </si>
  <si>
    <t>Лизингодатели в отношении пассажирских и грузовых морских, речных и воздушных судов, находящихся в собственности (на праве хозяйственного ведения или оперативного управления) организаций и индивидуальных предпринимателей, основным видом деятельности которых является осуществление пассажирских и (или) грузовых перевозок; тракторов, самоходных комбайнов всех марок, специальных автомашин (молоковозы, скотовозы, специальные машины для перевозки птицы, машины для перевозки и внесения минеральных удобрений, ветеринарной помощи, технического обслуживания), зарегистрированных на сельскохозяйственных товаропроизводителей и используемых при сельскохозяйственных работах для производства сельскохозяйственной продукции, переданных в соответствии с законодательством Российской Федерации лизингополучателям, которые соответственно являются организациями и индивидуальными предпринимателями, основным видом деятельности которых является осуществление пассажирских и (или) грузовых перевозок, или сельскохозяйственными товаропроизводителями</t>
  </si>
  <si>
    <t>Не более 980 руб. по совокупности транспортных средств</t>
  </si>
  <si>
    <t>Размер налоговой льготы</t>
  </si>
  <si>
    <t>Освобождение от уплаты</t>
  </si>
  <si>
    <t>То же</t>
  </si>
  <si>
    <t>Организации, физические лица, зарегистрированные в установленном действующим законодательством порядке и осуществляющие предпринимательскую деятельность без образования юридического лица, крестьянские (фермерские) хозяйства, основным видом деятельности которых является производство сельскохозяйственной продукции и доля производства сельскохозяйственной продукции которых составляет не менее 70 процентов от валового объема производства в течение налогового периода, по объектам налогообложения:
"Грузовые автомобили с мощностью двигателя (с каждой лошадиной силы):
- до 100 л.с. (до 73,55 кВт) включительно;
- свыше 100 л.с. до 150 л.с. (свыше 73,55 кВт до 110,33 кВт) включительно"</t>
  </si>
  <si>
    <t>Применяется коэффициент 0,5 к ставкам, установленным ст. 1 областного закона "О транспортном налоге"</t>
  </si>
  <si>
    <t>Примечание: При наличии у гражданина права на применение налоговых льгот, предусмотренных областным законом "О транспортном налоге", по нескольким основаниям льгота предоставляется по одному из оснований по выбору налогоплательщика</t>
  </si>
  <si>
    <r>
      <t xml:space="preserve">Организации, осуществляющие охрану, защиту и воспроизводство лесов, удельный вес доходов которых от осуществления этой деятельности за год, предшествующий текущему налоговому периоду, составляет не менее 70 процентов общей суммы их доходов, - в отношении техники: автоцистерн пожарных, вездеходов лесопожарных, тракторов лесопожарных, бульдозеров.
</t>
    </r>
    <r>
      <rPr>
        <b/>
        <sz val="11"/>
        <color theme="1"/>
        <rFont val="Arial"/>
        <family val="2"/>
        <charset val="204"/>
      </rPr>
      <t>(С 01.01.2014 бульдозеры исключены)</t>
    </r>
  </si>
  <si>
    <r>
      <t xml:space="preserve">Организации лесозаготовительной промышленности, удельный вес доходов которых от осуществления этой деятельности за год, предшествующий текущему налоговому периоду, составляет не менее 70 процентов общей суммы их доходов, - в отношении техники: автоцистерн пожарных, вездеходов лесопожарных, тракторов лесопожарных, бульдозеров, харвестеров и форвардеров.
</t>
    </r>
    <r>
      <rPr>
        <b/>
        <sz val="11"/>
        <color theme="1"/>
        <rFont val="Arial"/>
        <family val="2"/>
        <charset val="204"/>
      </rPr>
      <t>(С 01.01.2014 бульдозеры, харвестеры и форвардеры исключены)</t>
    </r>
  </si>
  <si>
    <r>
      <t xml:space="preserve">Организации деревообрабатывающей промышленности, удельный вес доходов которых от осуществления этой деятельности за год, предшествующий текущему налоговому периоду, составляет не менее 70 процентов общей суммы их доходов, - в отношении техники: автоцистерн пожарных, вездеходов лесопожарных, тракторов лесопожарных, бульдозеров, харвестеров и форвардеров.
</t>
    </r>
    <r>
      <rPr>
        <b/>
        <sz val="11"/>
        <color theme="1"/>
        <rFont val="Arial"/>
        <family val="2"/>
        <charset val="204"/>
      </rPr>
      <t>(С 01.01.2014 бульдозеры, харвестеры и форвардеры исключены)</t>
    </r>
  </si>
  <si>
    <r>
      <t xml:space="preserve">Инвалиды </t>
    </r>
    <r>
      <rPr>
        <u/>
        <sz val="11"/>
        <color theme="1"/>
        <rFont val="Arial"/>
        <family val="2"/>
        <charset val="204"/>
      </rPr>
      <t>I, II, III групп</t>
    </r>
    <r>
      <rPr>
        <sz val="11"/>
        <color theme="1"/>
        <rFont val="Arial"/>
        <family val="2"/>
        <charset val="204"/>
      </rPr>
      <t xml:space="preserve">, участники Великой Отечественной войны, не имеющие инвалидности, ветераны боевых действий, участники ликвидации последствий катастрофы на Чернобыльской АЭС, граждане из подразделений особого риска и пенсионеры, являющиеся опекунами признанных судом недееспособными инвалидов с детства, - владельцы транспортных средств в части исчисленного налога в размере, не превышающем 980 рублей
</t>
    </r>
    <r>
      <rPr>
        <b/>
        <sz val="11"/>
        <color theme="1"/>
        <rFont val="Arial"/>
        <family val="2"/>
        <charset val="204"/>
      </rPr>
      <t>(С 11.06.2013 инвалиды III группы исключены)</t>
    </r>
  </si>
  <si>
    <t>Льгота предоставляется на основании справки, подтверждающей факт установления инвалидности, удостоверения участника Великой Отечественной войны, удостоверения ветерана боевых действий, удостоверения участника ликвидации последствий катастрофы на Чернобыльской АЭС, удостоверения ветерана (участника действий) подразделений особого риска, пенсионного удостоверения и удостоверения опекуна по письменному заявлению гражданина в виде единого налогового вычета из исчисленной в совокупности суммы налога, подлежащего внесению в бюджет:
1) для инвалидов I и II групп, участников Великой Отечественной войны, не имеющих инвалидности, ветеранов боевых действий, участников ликвидации последствий катастрофы на Чернобыльской АЭС или граждан из подразделений особого риска и пенсионеров, являющихся опекунами признанных судом недееспособными инвалидов с детства, по всем подлежащим налогообложению транспортным средствам, зарегистрированным за данным владельцем;
2) для инвалидов III группы по автомобилям с ручным управлением, зарегистрированным за данным владельцем.</t>
  </si>
  <si>
    <t>Ст. 4 областного закона "О транспортном налоге"</t>
  </si>
  <si>
    <t>01.01.2013 – 31.12.2015</t>
  </si>
  <si>
    <t>Имущество садоводческих товариществ</t>
  </si>
  <si>
    <t xml:space="preserve">пп. 1 п. 1 ст. 3 областного закона № 52-4-ОЗ </t>
  </si>
  <si>
    <t xml:space="preserve">пп. 2 п. 1 ст. 3 областного закона № 52-4-ОЗ </t>
  </si>
  <si>
    <t xml:space="preserve">пп. 3 п. 1 ст. 3 областного закона № 52-4-ОЗ </t>
  </si>
  <si>
    <t>Темп изменения, %</t>
  </si>
  <si>
    <t>к пред. году</t>
  </si>
  <si>
    <t>к 2012 году</t>
  </si>
  <si>
    <t>2012 год</t>
  </si>
  <si>
    <t>Выручка от продажи товаров, продукции, работ и услуг, тыс.руб.</t>
  </si>
  <si>
    <t>х</t>
  </si>
  <si>
    <t>Прибыль валовая, тыс.руб.</t>
  </si>
  <si>
    <t>Прибыль налогооблагаемая, тыс.руб.</t>
  </si>
  <si>
    <t>Среднемесячная заработная плата, тыс.руб.</t>
  </si>
  <si>
    <t>Среднегодовая стоимость основных средств, тыс.руб.</t>
  </si>
  <si>
    <t>Себестоимость единицы основного вида продукции, тыс.руб.</t>
  </si>
  <si>
    <t>Объем платежей организации за негативное воздействие на окружающую среду, тыс.руб.</t>
  </si>
  <si>
    <t>Среднесписочная численность работников</t>
  </si>
  <si>
    <t>2013 год</t>
  </si>
  <si>
    <t>в 5 раз</t>
  </si>
  <si>
    <t>2014 год</t>
  </si>
  <si>
    <t>в 2,6 раза</t>
  </si>
  <si>
    <t>в 2,4 раза</t>
  </si>
  <si>
    <t>в 12,3 раз</t>
  </si>
  <si>
    <t>в 6,8 раза</t>
  </si>
  <si>
    <t>в 2,7 раза</t>
  </si>
  <si>
    <t>в 10,1 раза</t>
  </si>
  <si>
    <t>в 2,1 раза</t>
  </si>
  <si>
    <t>в 5,1 раза</t>
  </si>
  <si>
    <t>2015 год</t>
  </si>
  <si>
    <t>в 2,0 раза</t>
  </si>
  <si>
    <t>в 3,0 раза</t>
  </si>
  <si>
    <t>в 3,6 раза</t>
  </si>
  <si>
    <t>в 26,4 раза</t>
  </si>
  <si>
    <t>в 6,6 раза</t>
  </si>
  <si>
    <t>в 3,5 раза</t>
  </si>
  <si>
    <t>Количество баллов в соответствии с пп. 2 п. 4 Методических рекомендаций № 185-рп</t>
  </si>
  <si>
    <t>Налог на прибыль организаций</t>
  </si>
  <si>
    <t>Организация</t>
  </si>
  <si>
    <t>Налог</t>
  </si>
  <si>
    <t>Предоставление налоговых льгот</t>
  </si>
  <si>
    <t>Налоговая база для исчисления налога, тыс.руб.</t>
  </si>
  <si>
    <t>Сумма налога, тыс.руб.</t>
  </si>
  <si>
    <t>Всего исчислено к уплате в областной бюджет, тыс.руб.</t>
  </si>
  <si>
    <t>Ставка налога с учетом льготы</t>
  </si>
  <si>
    <t>Сумма налога с учетом льготной ставки налога, тыс.руб.</t>
  </si>
  <si>
    <t>Всего исчислено налогов в областной бюджет с учетом льгот, тыс.руб.</t>
  </si>
  <si>
    <t xml:space="preserve">Прирост налоговых поступлений в областной бюджет с учетом применения льготных налоговых ставок, тыс.руб. </t>
  </si>
  <si>
    <t>Всего прирост налоговых поступлений в областной бюджет, тыс.руб.</t>
  </si>
  <si>
    <t>Сумма потерь областного бюджета или сумма средств, высвобождающаяся в результате льготного налогообложения, тыс.руб.</t>
  </si>
  <si>
    <t>Коэффициент бюджетной эффективности</t>
  </si>
  <si>
    <t>8=3*7</t>
  </si>
  <si>
    <t>9=4*7</t>
  </si>
  <si>
    <t>10=5*7</t>
  </si>
  <si>
    <t>11=6*7</t>
  </si>
  <si>
    <t>12=8+9+10+11</t>
  </si>
  <si>
    <t>14=3*налоговая ставка</t>
  </si>
  <si>
    <t>15=4*налоговая ставка</t>
  </si>
  <si>
    <t>16=5*13</t>
  </si>
  <si>
    <t>17=6*13</t>
  </si>
  <si>
    <t>18=14+15+16+17</t>
  </si>
  <si>
    <t>20=15-14</t>
  </si>
  <si>
    <t>21=16-14(15)</t>
  </si>
  <si>
    <t>22=17-14(15)</t>
  </si>
  <si>
    <t>23=20+21+22</t>
  </si>
  <si>
    <t>25=9-15</t>
  </si>
  <si>
    <t>26=10-16</t>
  </si>
  <si>
    <t>27=11-17</t>
  </si>
  <si>
    <t>28=25+26+27</t>
  </si>
  <si>
    <t>29=(23П1+23И1)/(28П1+28И1)</t>
  </si>
  <si>
    <t>предоставлены льготы по ряду лет</t>
  </si>
  <si>
    <t>2012-15,5%; 2013-15%, 2014-2015-13,5%</t>
  </si>
  <si>
    <t>Налог на имущество организаций</t>
  </si>
  <si>
    <t>ожидаемое</t>
  </si>
  <si>
    <t>в 2014-2015 - 13,5%</t>
  </si>
  <si>
    <t>нет льготного имущества</t>
  </si>
  <si>
    <t>в 2012-2013 - 13,5%</t>
  </si>
  <si>
    <t>данные налоговой</t>
  </si>
  <si>
    <t>в 2012-2013 - 15,5%</t>
  </si>
  <si>
    <t>Ставка налога</t>
  </si>
  <si>
    <t>Приложение № 5</t>
  </si>
  <si>
    <t>Сумма высвобождающих средств в результате льготного налогообложения</t>
  </si>
  <si>
    <t>2а</t>
  </si>
  <si>
    <t>в 2012-2013 - необлагаемое имущество</t>
  </si>
  <si>
    <t>в 2014-2015 г. необлагаемое имущество</t>
  </si>
  <si>
    <t>Показатели финансово-экономической деятельности</t>
  </si>
  <si>
    <t>Оценка экономической эффективности предприятий, включенных в реестр инвестиционных проектов, реализуемых на территории Архангельской области в 2012-2015 годах и получивших налоговые льготы в соответствии с областным законом от 24.06.2009 № 52-4-ОЗ</t>
  </si>
  <si>
    <t>Организация № 1
(производство пиломатериалов)</t>
  </si>
  <si>
    <t>Организация № 2
(оптовая торговля лесоматериалами)</t>
  </si>
  <si>
    <t>Организация № 3
(производство пиломатериалов)</t>
  </si>
  <si>
    <t>Организация № 4
(производство целлюлозы и древесной массы)</t>
  </si>
  <si>
    <t>Приложение № 6</t>
  </si>
  <si>
    <t>Сведения о предприятиях, включенных в реестр инвестиционных проектов, реализуемых на территории Архангельской области в 2012-2015 годах и получивших налоговые льготы в соответствии с областным законом от 24.06.2009 № 52-4-ОЗ (бюджетная эффективность)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</si>
</sst>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
    <numFmt numFmtId="166" formatCode="#,##0.000"/>
    <numFmt numFmtId="167" formatCode="0.0%"/>
  </numFmts>
  <fonts count="20" x14ac:knownFonts="1">
    <font>
      <sz val="11"/>
      <color theme="1"/>
      <name val="Arial"/>
      <family val="2"/>
      <charset val="204"/>
    </font>
    <font>
      <sz val="10"/>
      <color theme="1"/>
      <name val="Arial"/>
      <family val="2"/>
      <charset val="204"/>
    </font>
    <font>
      <sz val="10"/>
      <color theme="1"/>
      <name val="Arial"/>
      <family val="2"/>
      <charset val="204"/>
    </font>
    <font>
      <sz val="10"/>
      <color theme="1"/>
      <name val="Arial"/>
      <family val="2"/>
      <charset val="204"/>
    </font>
    <font>
      <sz val="10"/>
      <color theme="1"/>
      <name val="Arial"/>
      <family val="2"/>
      <charset val="204"/>
    </font>
    <font>
      <sz val="10"/>
      <color theme="1"/>
      <name val="Arial"/>
      <family val="2"/>
      <charset val="204"/>
    </font>
    <font>
      <sz val="10"/>
      <name val="Arial"/>
      <family val="2"/>
      <charset val="204"/>
    </font>
    <font>
      <b/>
      <sz val="11"/>
      <color theme="1"/>
      <name val="Arial"/>
      <family val="2"/>
      <charset val="204"/>
    </font>
    <font>
      <u/>
      <sz val="11"/>
      <color theme="1"/>
      <name val="Arial"/>
      <family val="2"/>
      <charset val="204"/>
    </font>
    <font>
      <b/>
      <sz val="9"/>
      <color indexed="81"/>
      <name val="Tahoma"/>
      <family val="2"/>
      <charset val="204"/>
    </font>
    <font>
      <sz val="9"/>
      <color indexed="81"/>
      <name val="Tahoma"/>
      <family val="2"/>
      <charset val="204"/>
    </font>
    <font>
      <b/>
      <sz val="10"/>
      <color theme="1"/>
      <name val="Arial"/>
      <family val="2"/>
      <charset val="204"/>
    </font>
    <font>
      <b/>
      <i/>
      <sz val="10"/>
      <color theme="1"/>
      <name val="Arial"/>
      <family val="2"/>
      <charset val="204"/>
    </font>
    <font>
      <b/>
      <sz val="9"/>
      <color indexed="81"/>
      <name val="Tahoma"/>
      <charset val="1"/>
    </font>
    <font>
      <sz val="9"/>
      <color indexed="81"/>
      <name val="Tahoma"/>
      <charset val="1"/>
    </font>
    <font>
      <sz val="10"/>
      <color rgb="FFFF0000"/>
      <name val="Arial"/>
      <family val="2"/>
      <charset val="204"/>
    </font>
    <font>
      <b/>
      <sz val="10"/>
      <color rgb="FFFF0000"/>
      <name val="Arial"/>
      <family val="2"/>
      <charset val="204"/>
    </font>
    <font>
      <b/>
      <i/>
      <sz val="10"/>
      <color rgb="FF0070C0"/>
      <name val="Arial"/>
      <family val="2"/>
      <charset val="204"/>
    </font>
    <font>
      <b/>
      <sz val="10"/>
      <name val="Arial"/>
      <family val="2"/>
      <charset val="204"/>
    </font>
    <font>
      <b/>
      <i/>
      <sz val="10"/>
      <name val="Arial"/>
      <family val="2"/>
      <charset val="204"/>
    </font>
  </fonts>
  <fills count="6">
    <fill>
      <patternFill patternType="none"/>
    </fill>
    <fill>
      <patternFill patternType="gray125"/>
    </fill>
    <fill>
      <patternFill patternType="solid">
        <fgColor theme="4"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7"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right style="thin">
        <color indexed="64"/>
      </right>
      <top style="double">
        <color indexed="64"/>
      </top>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s>
  <cellStyleXfs count="1">
    <xf numFmtId="0" fontId="0" fillId="0" borderId="0"/>
  </cellStyleXfs>
  <cellXfs count="168">
    <xf numFmtId="0" fontId="0" fillId="0" borderId="0" xfId="0"/>
    <xf numFmtId="0" fontId="5" fillId="0" borderId="0" xfId="0" applyFont="1"/>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wrapText="1"/>
    </xf>
    <xf numFmtId="0" fontId="5" fillId="0" borderId="0" xfId="0" applyFont="1" applyAlignment="1">
      <alignment horizontal="right"/>
    </xf>
    <xf numFmtId="0" fontId="0" fillId="0" borderId="1" xfId="0" applyBorder="1" applyAlignment="1">
      <alignment wrapText="1"/>
    </xf>
    <xf numFmtId="0" fontId="0" fillId="0" borderId="0" xfId="0" applyFont="1" applyAlignment="1">
      <alignment horizontal="center" wrapText="1"/>
    </xf>
    <xf numFmtId="0" fontId="5" fillId="0" borderId="1" xfId="0" applyFont="1" applyBorder="1" applyAlignment="1">
      <alignment horizontal="center" vertical="center"/>
    </xf>
    <xf numFmtId="0" fontId="0" fillId="0" borderId="0" xfId="0" applyAlignment="1">
      <alignment horizontal="right"/>
    </xf>
    <xf numFmtId="0" fontId="0" fillId="0" borderId="1" xfId="0" applyBorder="1" applyAlignment="1">
      <alignment horizontal="center"/>
    </xf>
    <xf numFmtId="0" fontId="0" fillId="0" borderId="0" xfId="0" applyFont="1" applyAlignment="1">
      <alignment horizont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0" fillId="0" borderId="1" xfId="0" applyBorder="1" applyAlignment="1">
      <alignment horizontal="center" wrapText="1"/>
    </xf>
    <xf numFmtId="0" fontId="0" fillId="0" borderId="1" xfId="0" applyBorder="1"/>
    <xf numFmtId="0" fontId="0" fillId="0" borderId="0" xfId="0" applyFill="1" applyBorder="1" applyAlignment="1">
      <alignment wrapText="1"/>
    </xf>
    <xf numFmtId="0" fontId="11" fillId="0" borderId="0" xfId="0" applyFont="1" applyAlignment="1"/>
    <xf numFmtId="0" fontId="5" fillId="0" borderId="1" xfId="0" applyFont="1" applyBorder="1" applyAlignment="1">
      <alignment horizontal="center" wrapText="1"/>
    </xf>
    <xf numFmtId="165" fontId="5" fillId="0" borderId="1" xfId="0" applyNumberFormat="1" applyFont="1" applyBorder="1"/>
    <xf numFmtId="165" fontId="5" fillId="0" borderId="1" xfId="0" applyNumberFormat="1" applyFont="1" applyBorder="1" applyAlignment="1">
      <alignment horizontal="center"/>
    </xf>
    <xf numFmtId="0" fontId="5" fillId="0" borderId="1" xfId="0" applyFont="1" applyFill="1" applyBorder="1" applyAlignment="1">
      <alignment vertical="center" wrapText="1"/>
    </xf>
    <xf numFmtId="0" fontId="5" fillId="0" borderId="1" xfId="0" applyFont="1" applyFill="1" applyBorder="1" applyAlignment="1">
      <alignment wrapText="1"/>
    </xf>
    <xf numFmtId="166" fontId="5" fillId="0" borderId="1" xfId="0" applyNumberFormat="1" applyFont="1" applyBorder="1"/>
    <xf numFmtId="3" fontId="5" fillId="0" borderId="1" xfId="0" applyNumberFormat="1" applyFont="1" applyFill="1" applyBorder="1"/>
    <xf numFmtId="3" fontId="5" fillId="0" borderId="1" xfId="0" applyNumberFormat="1" applyFont="1" applyFill="1" applyBorder="1" applyAlignment="1">
      <alignment horizontal="right"/>
    </xf>
    <xf numFmtId="3" fontId="5" fillId="0" borderId="1" xfId="0" applyNumberFormat="1" applyFont="1" applyBorder="1"/>
    <xf numFmtId="3" fontId="5" fillId="0" borderId="1" xfId="0" applyNumberFormat="1" applyFont="1" applyBorder="1" applyAlignment="1">
      <alignment horizontal="right"/>
    </xf>
    <xf numFmtId="166" fontId="5" fillId="0" borderId="1" xfId="0" applyNumberFormat="1" applyFont="1" applyBorder="1" applyAlignment="1">
      <alignment horizontal="right"/>
    </xf>
    <xf numFmtId="4" fontId="5" fillId="0" borderId="1" xfId="0" applyNumberFormat="1" applyFont="1" applyBorder="1" applyAlignment="1">
      <alignment horizontal="right"/>
    </xf>
    <xf numFmtId="4" fontId="5" fillId="0" borderId="1" xfId="0" applyNumberFormat="1" applyFont="1" applyBorder="1" applyAlignment="1">
      <alignment horizontal="right" wrapText="1"/>
    </xf>
    <xf numFmtId="4" fontId="5" fillId="0" borderId="1" xfId="0" applyNumberFormat="1" applyFont="1" applyBorder="1"/>
    <xf numFmtId="165" fontId="5" fillId="0" borderId="1" xfId="0" applyNumberFormat="1" applyFont="1" applyBorder="1" applyAlignment="1">
      <alignment horizontal="right"/>
    </xf>
    <xf numFmtId="0" fontId="5" fillId="4" borderId="1" xfId="0" applyFont="1" applyFill="1" applyBorder="1" applyAlignment="1">
      <alignment wrapText="1"/>
    </xf>
    <xf numFmtId="165" fontId="5" fillId="4" borderId="1" xfId="0" applyNumberFormat="1" applyFont="1" applyFill="1" applyBorder="1"/>
    <xf numFmtId="3" fontId="5" fillId="4" borderId="1" xfId="0" applyNumberFormat="1" applyFont="1" applyFill="1" applyBorder="1"/>
    <xf numFmtId="3" fontId="5" fillId="4" borderId="1" xfId="0" applyNumberFormat="1" applyFont="1" applyFill="1" applyBorder="1" applyAlignment="1">
      <alignment horizontal="right"/>
    </xf>
    <xf numFmtId="0" fontId="12" fillId="0" borderId="1" xfId="0" applyFont="1" applyFill="1" applyBorder="1" applyAlignment="1">
      <alignment horizontal="center" vertical="center" wrapText="1"/>
    </xf>
    <xf numFmtId="0" fontId="4" fillId="0" borderId="0" xfId="0" applyFont="1" applyFill="1" applyBorder="1"/>
    <xf numFmtId="0" fontId="11"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wrapText="1"/>
    </xf>
    <xf numFmtId="0" fontId="16" fillId="0" borderId="1" xfId="0" applyFont="1" applyFill="1" applyBorder="1" applyAlignment="1">
      <alignment horizontal="center" wrapText="1"/>
    </xf>
    <xf numFmtId="0" fontId="11" fillId="0" borderId="13" xfId="0" applyFont="1" applyFill="1" applyBorder="1" applyAlignment="1">
      <alignment horizontal="center" wrapText="1"/>
    </xf>
    <xf numFmtId="0" fontId="4" fillId="0" borderId="0" xfId="0" applyFont="1" applyFill="1" applyBorder="1" applyAlignment="1">
      <alignment horizontal="center"/>
    </xf>
    <xf numFmtId="0" fontId="4" fillId="0" borderId="0" xfId="0" applyFont="1" applyFill="1" applyBorder="1" applyAlignment="1">
      <alignment vertical="center"/>
    </xf>
    <xf numFmtId="0" fontId="17" fillId="0" borderId="0" xfId="0" applyFont="1" applyFill="1" applyBorder="1"/>
    <xf numFmtId="0" fontId="12" fillId="0" borderId="0" xfId="0" applyFont="1" applyFill="1" applyBorder="1" applyAlignment="1">
      <alignment vertical="center"/>
    </xf>
    <xf numFmtId="3" fontId="4" fillId="0" borderId="0" xfId="0" applyNumberFormat="1" applyFont="1" applyFill="1" applyBorder="1"/>
    <xf numFmtId="0" fontId="11" fillId="0" borderId="0" xfId="0" applyFont="1" applyFill="1" applyBorder="1"/>
    <xf numFmtId="0" fontId="4" fillId="0" borderId="0" xfId="0" applyFont="1" applyFill="1" applyBorder="1" applyAlignment="1"/>
    <xf numFmtId="0" fontId="6" fillId="3" borderId="18" xfId="0" applyFont="1" applyFill="1" applyBorder="1" applyAlignment="1">
      <alignment vertical="center" wrapText="1"/>
    </xf>
    <xf numFmtId="0" fontId="4" fillId="3" borderId="18" xfId="0" applyFont="1" applyFill="1" applyBorder="1" applyAlignment="1">
      <alignment vertical="center" wrapText="1"/>
    </xf>
    <xf numFmtId="0" fontId="15" fillId="3" borderId="18" xfId="0" applyFont="1" applyFill="1" applyBorder="1" applyAlignment="1">
      <alignment horizontal="center" wrapText="1"/>
    </xf>
    <xf numFmtId="3" fontId="16" fillId="3" borderId="18" xfId="0" applyNumberFormat="1" applyFont="1" applyFill="1" applyBorder="1" applyAlignment="1">
      <alignment horizontal="right" wrapText="1"/>
    </xf>
    <xf numFmtId="3" fontId="16" fillId="3" borderId="18" xfId="0" applyNumberFormat="1" applyFont="1" applyFill="1" applyBorder="1" applyAlignment="1">
      <alignment horizontal="right"/>
    </xf>
    <xf numFmtId="167" fontId="16" fillId="3" borderId="18" xfId="0" applyNumberFormat="1" applyFont="1" applyFill="1" applyBorder="1" applyAlignment="1">
      <alignment horizontal="right" wrapText="1"/>
    </xf>
    <xf numFmtId="3" fontId="4" fillId="3" borderId="18" xfId="0" applyNumberFormat="1" applyFont="1" applyFill="1" applyBorder="1" applyAlignment="1">
      <alignment horizontal="right" wrapText="1"/>
    </xf>
    <xf numFmtId="3" fontId="16" fillId="3" borderId="18" xfId="0" applyNumberFormat="1" applyFont="1" applyFill="1" applyBorder="1"/>
    <xf numFmtId="3" fontId="16" fillId="3" borderId="19" xfId="0" applyNumberFormat="1" applyFont="1" applyFill="1" applyBorder="1" applyAlignment="1">
      <alignment horizontal="center"/>
    </xf>
    <xf numFmtId="0" fontId="4" fillId="0" borderId="0" xfId="0" applyFont="1" applyFill="1" applyBorder="1" applyAlignment="1">
      <alignment horizontal="right"/>
    </xf>
    <xf numFmtId="0" fontId="4" fillId="0" borderId="1" xfId="0" applyFont="1" applyFill="1" applyBorder="1" applyAlignment="1">
      <alignment horizontal="center" wrapText="1"/>
    </xf>
    <xf numFmtId="3" fontId="4" fillId="0" borderId="1" xfId="0" applyNumberFormat="1" applyFont="1" applyFill="1" applyBorder="1" applyAlignment="1">
      <alignment horizontal="right" wrapText="1"/>
    </xf>
    <xf numFmtId="3" fontId="4" fillId="0" borderId="1" xfId="0" applyNumberFormat="1" applyFont="1" applyFill="1" applyBorder="1" applyAlignment="1">
      <alignment horizontal="right"/>
    </xf>
    <xf numFmtId="10" fontId="4" fillId="0" borderId="1" xfId="0" applyNumberFormat="1" applyFont="1" applyFill="1" applyBorder="1" applyAlignment="1">
      <alignment horizontal="right" wrapText="1"/>
    </xf>
    <xf numFmtId="0" fontId="11" fillId="0" borderId="1" xfId="0" applyFont="1" applyFill="1" applyBorder="1" applyAlignment="1">
      <alignment horizontal="right" wrapText="1"/>
    </xf>
    <xf numFmtId="3" fontId="4" fillId="0" borderId="1" xfId="0" applyNumberFormat="1" applyFont="1" applyFill="1" applyBorder="1"/>
    <xf numFmtId="3" fontId="4" fillId="0" borderId="1" xfId="0" applyNumberFormat="1" applyFont="1" applyFill="1" applyBorder="1" applyAlignment="1">
      <alignment horizontal="right" vertical="center" wrapText="1"/>
    </xf>
    <xf numFmtId="3" fontId="4" fillId="0" borderId="1" xfId="0" applyNumberFormat="1" applyFont="1" applyFill="1" applyBorder="1" applyAlignment="1">
      <alignment horizontal="right" vertical="center"/>
    </xf>
    <xf numFmtId="10" fontId="4" fillId="0" borderId="1" xfId="0" applyNumberFormat="1" applyFont="1" applyFill="1" applyBorder="1" applyAlignment="1">
      <alignment horizontal="right" vertical="center" wrapText="1"/>
    </xf>
    <xf numFmtId="0" fontId="11" fillId="0" borderId="1" xfId="0" applyFont="1" applyFill="1" applyBorder="1" applyAlignment="1">
      <alignment horizontal="right" vertical="center" wrapText="1"/>
    </xf>
    <xf numFmtId="3" fontId="4" fillId="0" borderId="1" xfId="0" applyNumberFormat="1" applyFont="1" applyFill="1" applyBorder="1" applyAlignment="1">
      <alignment vertical="center"/>
    </xf>
    <xf numFmtId="165" fontId="12" fillId="0" borderId="1" xfId="0" applyNumberFormat="1" applyFont="1" applyFill="1" applyBorder="1" applyAlignment="1">
      <alignment vertical="center"/>
    </xf>
    <xf numFmtId="167" fontId="4" fillId="0" borderId="1" xfId="0" applyNumberFormat="1" applyFont="1" applyFill="1" applyBorder="1" applyAlignment="1">
      <alignment horizontal="right" wrapText="1"/>
    </xf>
    <xf numFmtId="0" fontId="17" fillId="0" borderId="1" xfId="0" applyFont="1" applyFill="1" applyBorder="1" applyAlignment="1">
      <alignment horizontal="center" wrapText="1"/>
    </xf>
    <xf numFmtId="3" fontId="17" fillId="0" borderId="1" xfId="0" applyNumberFormat="1" applyFont="1" applyFill="1" applyBorder="1" applyAlignment="1">
      <alignment horizontal="right" wrapText="1"/>
    </xf>
    <xf numFmtId="3" fontId="17" fillId="0" borderId="1" xfId="0" applyNumberFormat="1" applyFont="1" applyFill="1" applyBorder="1" applyAlignment="1">
      <alignment horizontal="right"/>
    </xf>
    <xf numFmtId="10" fontId="17" fillId="0" borderId="1" xfId="0" applyNumberFormat="1" applyFont="1" applyFill="1" applyBorder="1" applyAlignment="1">
      <alignment horizontal="right" wrapText="1"/>
    </xf>
    <xf numFmtId="0" fontId="17" fillId="0" borderId="1" xfId="0" applyFont="1" applyFill="1" applyBorder="1" applyAlignment="1">
      <alignment horizontal="right" wrapText="1"/>
    </xf>
    <xf numFmtId="3" fontId="17" fillId="0" borderId="1" xfId="0" applyNumberFormat="1" applyFont="1" applyFill="1" applyBorder="1"/>
    <xf numFmtId="165" fontId="17" fillId="0" borderId="1" xfId="0" applyNumberFormat="1" applyFont="1" applyFill="1" applyBorder="1"/>
    <xf numFmtId="165" fontId="4" fillId="0" borderId="1" xfId="0" applyNumberFormat="1" applyFont="1" applyFill="1" applyBorder="1"/>
    <xf numFmtId="3" fontId="4" fillId="0" borderId="1" xfId="0" applyNumberFormat="1" applyFont="1" applyFill="1" applyBorder="1" applyAlignment="1">
      <alignment horizontal="center"/>
    </xf>
    <xf numFmtId="0" fontId="4" fillId="0" borderId="14" xfId="0" applyFont="1" applyFill="1" applyBorder="1" applyAlignment="1">
      <alignment horizontal="center" wrapText="1"/>
    </xf>
    <xf numFmtId="3" fontId="12" fillId="0" borderId="1" xfId="0" applyNumberFormat="1" applyFont="1" applyFill="1" applyBorder="1" applyAlignment="1">
      <alignment horizontal="right" vertical="center" wrapText="1"/>
    </xf>
    <xf numFmtId="3" fontId="12" fillId="0" borderId="1" xfId="0" applyNumberFormat="1" applyFont="1" applyFill="1" applyBorder="1" applyAlignment="1">
      <alignment horizontal="right" vertical="center"/>
    </xf>
    <xf numFmtId="10" fontId="12" fillId="0" borderId="1" xfId="0" applyNumberFormat="1" applyFont="1" applyFill="1" applyBorder="1" applyAlignment="1">
      <alignment horizontal="right" vertical="center" wrapText="1"/>
    </xf>
    <xf numFmtId="3" fontId="12" fillId="0" borderId="1" xfId="0" applyNumberFormat="1" applyFont="1" applyFill="1" applyBorder="1" applyAlignment="1">
      <alignment vertical="center"/>
    </xf>
    <xf numFmtId="3" fontId="12" fillId="0" borderId="1" xfId="0" applyNumberFormat="1" applyFont="1" applyFill="1" applyBorder="1" applyAlignment="1">
      <alignment horizontal="center" vertical="center"/>
    </xf>
    <xf numFmtId="3" fontId="15" fillId="0" borderId="1" xfId="0" applyNumberFormat="1" applyFont="1" applyFill="1" applyBorder="1" applyAlignment="1">
      <alignment horizontal="right" wrapText="1"/>
    </xf>
    <xf numFmtId="3" fontId="15" fillId="0" borderId="1" xfId="0" applyNumberFormat="1" applyFont="1" applyFill="1" applyBorder="1" applyAlignment="1">
      <alignment horizontal="right"/>
    </xf>
    <xf numFmtId="3" fontId="15" fillId="0" borderId="1" xfId="0" applyNumberFormat="1" applyFont="1" applyFill="1" applyBorder="1"/>
    <xf numFmtId="167" fontId="17" fillId="0" borderId="1" xfId="0" applyNumberFormat="1" applyFont="1" applyFill="1" applyBorder="1" applyAlignment="1">
      <alignment horizontal="right" wrapText="1"/>
    </xf>
    <xf numFmtId="0" fontId="15" fillId="0" borderId="1" xfId="0" applyFont="1" applyFill="1" applyBorder="1" applyAlignment="1">
      <alignment horizontal="center" wrapText="1"/>
    </xf>
    <xf numFmtId="4" fontId="12" fillId="0" borderId="1" xfId="0" applyNumberFormat="1" applyFont="1" applyFill="1" applyBorder="1" applyAlignment="1">
      <alignment vertical="center"/>
    </xf>
    <xf numFmtId="3" fontId="6" fillId="0" borderId="1" xfId="0" applyNumberFormat="1" applyFont="1" applyFill="1" applyBorder="1" applyAlignment="1">
      <alignment horizontal="right"/>
    </xf>
    <xf numFmtId="0" fontId="4" fillId="0" borderId="15" xfId="0" applyFont="1" applyFill="1" applyBorder="1" applyAlignment="1">
      <alignment horizontal="center" wrapText="1"/>
    </xf>
    <xf numFmtId="3" fontId="4" fillId="0" borderId="15" xfId="0" applyNumberFormat="1" applyFont="1" applyFill="1" applyBorder="1" applyAlignment="1">
      <alignment horizontal="right" wrapText="1"/>
    </xf>
    <xf numFmtId="3" fontId="4" fillId="0" borderId="15" xfId="0" applyNumberFormat="1" applyFont="1" applyFill="1" applyBorder="1" applyAlignment="1">
      <alignment horizontal="right"/>
    </xf>
    <xf numFmtId="167" fontId="4" fillId="0" borderId="15" xfId="0" applyNumberFormat="1" applyFont="1" applyFill="1" applyBorder="1" applyAlignment="1">
      <alignment horizontal="right" wrapText="1"/>
    </xf>
    <xf numFmtId="3" fontId="4" fillId="0" borderId="15" xfId="0" applyNumberFormat="1" applyFont="1" applyFill="1" applyBorder="1"/>
    <xf numFmtId="164" fontId="11" fillId="0" borderId="13" xfId="0" applyNumberFormat="1" applyFont="1" applyFill="1" applyBorder="1" applyAlignment="1">
      <alignment horizontal="right"/>
    </xf>
    <xf numFmtId="164" fontId="11" fillId="0" borderId="13" xfId="0" applyNumberFormat="1" applyFont="1" applyFill="1" applyBorder="1" applyAlignment="1">
      <alignment horizontal="right" vertical="center"/>
    </xf>
    <xf numFmtId="3" fontId="4" fillId="0" borderId="13" xfId="0" applyNumberFormat="1" applyFont="1" applyFill="1" applyBorder="1" applyAlignment="1">
      <alignment horizontal="right"/>
    </xf>
    <xf numFmtId="164" fontId="17" fillId="0" borderId="13" xfId="0" applyNumberFormat="1" applyFont="1" applyFill="1" applyBorder="1" applyAlignment="1">
      <alignment horizontal="right"/>
    </xf>
    <xf numFmtId="164" fontId="18" fillId="0" borderId="13" xfId="0" applyNumberFormat="1" applyFont="1" applyFill="1" applyBorder="1" applyAlignment="1">
      <alignment horizontal="right"/>
    </xf>
    <xf numFmtId="164" fontId="19" fillId="0" borderId="13" xfId="0" applyNumberFormat="1" applyFont="1" applyFill="1" applyBorder="1" applyAlignment="1">
      <alignment horizontal="right" vertical="center"/>
    </xf>
    <xf numFmtId="3" fontId="17" fillId="0" borderId="13" xfId="0" applyNumberFormat="1" applyFont="1" applyFill="1" applyBorder="1" applyAlignment="1">
      <alignment horizontal="right"/>
    </xf>
    <xf numFmtId="164" fontId="12" fillId="0" borderId="13" xfId="0" applyNumberFormat="1" applyFont="1" applyFill="1" applyBorder="1" applyAlignment="1">
      <alignment horizontal="right" vertical="center"/>
    </xf>
    <xf numFmtId="3" fontId="4" fillId="0" borderId="16" xfId="0" applyNumberFormat="1" applyFont="1" applyFill="1" applyBorder="1" applyAlignment="1">
      <alignment horizontal="right"/>
    </xf>
    <xf numFmtId="165" fontId="5" fillId="0" borderId="1" xfId="0" applyNumberFormat="1" applyFont="1" applyFill="1" applyBorder="1"/>
    <xf numFmtId="4" fontId="5" fillId="0" borderId="1" xfId="0" applyNumberFormat="1" applyFont="1" applyFill="1" applyBorder="1" applyAlignment="1">
      <alignment horizontal="right"/>
    </xf>
    <xf numFmtId="0" fontId="5" fillId="0" borderId="13" xfId="0" applyFont="1" applyBorder="1" applyAlignment="1">
      <alignment horizontal="center" wrapText="1"/>
    </xf>
    <xf numFmtId="0" fontId="5" fillId="0" borderId="12" xfId="0" applyFont="1" applyFill="1" applyBorder="1" applyAlignment="1">
      <alignment horizontal="center"/>
    </xf>
    <xf numFmtId="165" fontId="5" fillId="0" borderId="13" xfId="0" applyNumberFormat="1" applyFont="1" applyBorder="1" applyAlignment="1">
      <alignment horizontal="center"/>
    </xf>
    <xf numFmtId="3" fontId="5" fillId="0" borderId="13" xfId="0" applyNumberFormat="1" applyFont="1" applyFill="1" applyBorder="1"/>
    <xf numFmtId="0" fontId="12" fillId="0" borderId="12" xfId="0" applyFont="1" applyFill="1" applyBorder="1" applyAlignment="1">
      <alignment horizontal="center" vertical="center" wrapText="1"/>
    </xf>
    <xf numFmtId="3" fontId="5" fillId="0" borderId="13" xfId="0" applyNumberFormat="1" applyFont="1" applyFill="1" applyBorder="1" applyAlignment="1">
      <alignment horizontal="right"/>
    </xf>
    <xf numFmtId="165" fontId="5" fillId="0" borderId="13" xfId="0" applyNumberFormat="1" applyFont="1" applyFill="1" applyBorder="1" applyAlignment="1">
      <alignment horizontal="right"/>
    </xf>
    <xf numFmtId="0" fontId="5" fillId="4" borderId="12" xfId="0" applyFont="1" applyFill="1" applyBorder="1" applyAlignment="1">
      <alignment horizontal="center"/>
    </xf>
    <xf numFmtId="3" fontId="5" fillId="4" borderId="13" xfId="0" applyNumberFormat="1" applyFont="1" applyFill="1" applyBorder="1" applyAlignment="1">
      <alignment horizontal="right"/>
    </xf>
    <xf numFmtId="0" fontId="5" fillId="0" borderId="17" xfId="0" applyFont="1" applyFill="1" applyBorder="1" applyAlignment="1">
      <alignment horizontal="center"/>
    </xf>
    <xf numFmtId="0" fontId="5" fillId="0" borderId="15" xfId="0" applyFont="1" applyBorder="1" applyAlignment="1">
      <alignment wrapText="1"/>
    </xf>
    <xf numFmtId="3" fontId="5" fillId="0" borderId="15" xfId="0" applyNumberFormat="1" applyFont="1" applyBorder="1"/>
    <xf numFmtId="3" fontId="5" fillId="0" borderId="15" xfId="0" applyNumberFormat="1" applyFont="1" applyBorder="1" applyAlignment="1">
      <alignment horizontal="right"/>
    </xf>
    <xf numFmtId="3" fontId="5" fillId="0" borderId="16" xfId="0" applyNumberFormat="1" applyFont="1" applyBorder="1" applyAlignment="1">
      <alignment horizontal="right"/>
    </xf>
    <xf numFmtId="0" fontId="3" fillId="0" borderId="1" xfId="0" applyFont="1" applyBorder="1" applyAlignment="1">
      <alignment horizontal="center" vertical="center" wrapText="1"/>
    </xf>
    <xf numFmtId="0" fontId="3" fillId="0" borderId="1" xfId="0" applyFont="1" applyFill="1" applyBorder="1" applyAlignment="1">
      <alignment horizontal="center" wrapText="1"/>
    </xf>
    <xf numFmtId="0" fontId="3" fillId="0" borderId="0" xfId="0" applyFont="1" applyAlignment="1">
      <alignment horizontal="right"/>
    </xf>
    <xf numFmtId="0" fontId="0" fillId="0" borderId="0" xfId="0" applyFont="1" applyAlignment="1">
      <alignment horizontal="center" wrapText="1"/>
    </xf>
    <xf numFmtId="0" fontId="5" fillId="0" borderId="1" xfId="0" applyFont="1" applyBorder="1" applyAlignment="1">
      <alignment horizontal="center" vertical="center" wrapText="1"/>
    </xf>
    <xf numFmtId="0" fontId="2" fillId="0" borderId="1" xfId="0" applyFont="1" applyBorder="1" applyAlignment="1">
      <alignment horizontal="left" wrapText="1"/>
    </xf>
    <xf numFmtId="0" fontId="5" fillId="0" borderId="1" xfId="0" applyFont="1" applyBorder="1" applyAlignment="1">
      <alignment horizontal="left" wrapText="1"/>
    </xf>
    <xf numFmtId="0" fontId="5" fillId="0" borderId="1" xfId="0" applyFont="1" applyBorder="1" applyAlignment="1">
      <alignment horizontal="center" vertical="center"/>
    </xf>
    <xf numFmtId="0" fontId="0" fillId="0" borderId="0" xfId="0" applyFill="1" applyBorder="1" applyAlignment="1">
      <alignment horizontal="left" wrapText="1"/>
    </xf>
    <xf numFmtId="0" fontId="3" fillId="0" borderId="4"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 xfId="0" applyFont="1" applyFill="1" applyBorder="1" applyAlignment="1">
      <alignment horizontal="center" wrapText="1"/>
    </xf>
    <xf numFmtId="0" fontId="11" fillId="0" borderId="10"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7" xfId="0" applyFont="1" applyFill="1" applyBorder="1" applyAlignment="1">
      <alignment horizontal="center" vertical="center"/>
    </xf>
    <xf numFmtId="0" fontId="6" fillId="0" borderId="4"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2" fillId="0" borderId="0" xfId="0" applyFont="1" applyAlignment="1">
      <alignment horizontal="center" wrapText="1"/>
    </xf>
    <xf numFmtId="0" fontId="4" fillId="0" borderId="0" xfId="0" applyFont="1" applyAlignment="1">
      <alignment horizontal="center" wrapText="1"/>
    </xf>
    <xf numFmtId="0" fontId="12" fillId="5" borderId="25" xfId="0" applyFont="1" applyFill="1" applyBorder="1" applyAlignment="1">
      <alignment horizontal="center" vertical="center" wrapText="1"/>
    </xf>
    <xf numFmtId="0" fontId="12" fillId="5" borderId="3" xfId="0" applyFont="1" applyFill="1" applyBorder="1" applyAlignment="1">
      <alignment horizontal="center" vertical="center" wrapText="1"/>
    </xf>
    <xf numFmtId="0" fontId="12" fillId="5" borderId="26"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5" fillId="0" borderId="21" xfId="0" applyFont="1" applyBorder="1" applyAlignment="1">
      <alignment horizontal="center" wrapText="1"/>
    </xf>
    <xf numFmtId="0" fontId="5" fillId="0" borderId="22" xfId="0" applyFont="1" applyBorder="1" applyAlignment="1">
      <alignment horizontal="center" wrapText="1"/>
    </xf>
    <xf numFmtId="0" fontId="12" fillId="5" borderId="12"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1" fillId="0" borderId="20" xfId="0" applyFont="1" applyFill="1" applyBorder="1" applyAlignment="1">
      <alignment horizontal="center" vertical="center" wrapText="1"/>
    </xf>
    <xf numFmtId="0" fontId="11" fillId="0" borderId="24" xfId="0" applyFont="1" applyFill="1" applyBorder="1" applyAlignment="1">
      <alignment horizontal="center" vertical="center" wrapText="1"/>
    </xf>
    <xf numFmtId="0" fontId="5" fillId="0" borderId="23"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
  <sheetViews>
    <sheetView zoomScale="85" zoomScaleNormal="85" workbookViewId="0">
      <selection activeCell="A5" sqref="A5:B6"/>
    </sheetView>
  </sheetViews>
  <sheetFormatPr defaultRowHeight="13.2" x14ac:dyDescent="0.25"/>
  <cols>
    <col min="1" max="1" width="43.19921875" style="1" customWidth="1"/>
    <col min="2" max="2" width="11.69921875" style="1" customWidth="1"/>
    <col min="3" max="3" width="11.19921875" style="1" customWidth="1"/>
    <col min="4" max="4" width="9.19921875" style="1" customWidth="1"/>
    <col min="5" max="5" width="8.796875" style="1"/>
    <col min="6" max="6" width="73.19921875" style="1" customWidth="1"/>
    <col min="7" max="16384" width="8.796875" style="1"/>
  </cols>
  <sheetData>
    <row r="1" spans="1:6" x14ac:dyDescent="0.25">
      <c r="F1" s="5" t="s">
        <v>18</v>
      </c>
    </row>
    <row r="3" spans="1:6" ht="27" customHeight="1" x14ac:dyDescent="0.25">
      <c r="A3" s="130" t="s">
        <v>17</v>
      </c>
      <c r="B3" s="130"/>
      <c r="C3" s="130"/>
      <c r="D3" s="130"/>
      <c r="E3" s="130"/>
      <c r="F3" s="130"/>
    </row>
    <row r="5" spans="1:6" ht="27.6" customHeight="1" x14ac:dyDescent="0.25">
      <c r="A5" s="131" t="s">
        <v>0</v>
      </c>
      <c r="B5" s="131" t="s">
        <v>1</v>
      </c>
      <c r="C5" s="131"/>
      <c r="D5" s="131"/>
      <c r="E5" s="131" t="s">
        <v>2</v>
      </c>
      <c r="F5" s="134" t="s">
        <v>20</v>
      </c>
    </row>
    <row r="6" spans="1:6" ht="27" customHeight="1" x14ac:dyDescent="0.25">
      <c r="A6" s="131"/>
      <c r="B6" s="2" t="s">
        <v>3</v>
      </c>
      <c r="C6" s="2" t="s">
        <v>4</v>
      </c>
      <c r="D6" s="2" t="s">
        <v>5</v>
      </c>
      <c r="E6" s="131"/>
      <c r="F6" s="134"/>
    </row>
    <row r="7" spans="1:6" ht="163.80000000000001" customHeight="1" x14ac:dyDescent="0.25">
      <c r="A7" s="3" t="s">
        <v>10</v>
      </c>
      <c r="B7" s="2">
        <v>16.5</v>
      </c>
      <c r="C7" s="2">
        <v>16.5</v>
      </c>
      <c r="D7" s="2">
        <v>16.5</v>
      </c>
      <c r="E7" s="3" t="s">
        <v>69</v>
      </c>
      <c r="F7" s="132" t="s">
        <v>14</v>
      </c>
    </row>
    <row r="8" spans="1:6" ht="177.6" customHeight="1" x14ac:dyDescent="0.25">
      <c r="A8" s="3" t="s">
        <v>11</v>
      </c>
      <c r="B8" s="2">
        <v>15</v>
      </c>
      <c r="C8" s="2">
        <v>15</v>
      </c>
      <c r="D8" s="2">
        <v>15</v>
      </c>
      <c r="E8" s="3" t="s">
        <v>70</v>
      </c>
      <c r="F8" s="133"/>
    </row>
    <row r="9" spans="1:6" ht="181.8" customHeight="1" x14ac:dyDescent="0.25">
      <c r="A9" s="3" t="s">
        <v>12</v>
      </c>
      <c r="B9" s="2">
        <v>13.5</v>
      </c>
      <c r="C9" s="2">
        <v>13.5</v>
      </c>
      <c r="D9" s="2">
        <v>13.5</v>
      </c>
      <c r="E9" s="3" t="s">
        <v>71</v>
      </c>
      <c r="F9" s="133"/>
    </row>
    <row r="10" spans="1:6" ht="105.6" x14ac:dyDescent="0.25">
      <c r="A10" s="3" t="s">
        <v>6</v>
      </c>
      <c r="B10" s="2">
        <v>15.7</v>
      </c>
      <c r="C10" s="2">
        <v>15.7</v>
      </c>
      <c r="D10" s="2" t="s">
        <v>7</v>
      </c>
      <c r="E10" s="4" t="s">
        <v>8</v>
      </c>
      <c r="F10" s="4" t="s">
        <v>15</v>
      </c>
    </row>
    <row r="11" spans="1:6" ht="105.6" x14ac:dyDescent="0.25">
      <c r="A11" s="4" t="s">
        <v>19</v>
      </c>
      <c r="B11" s="2" t="s">
        <v>7</v>
      </c>
      <c r="C11" s="2">
        <v>13.5</v>
      </c>
      <c r="D11" s="2">
        <v>13.5</v>
      </c>
      <c r="E11" s="4" t="s">
        <v>9</v>
      </c>
      <c r="F11" s="4" t="s">
        <v>16</v>
      </c>
    </row>
    <row r="13" spans="1:6" x14ac:dyDescent="0.25">
      <c r="A13" s="1" t="s">
        <v>21</v>
      </c>
    </row>
  </sheetData>
  <mergeCells count="6">
    <mergeCell ref="A3:F3"/>
    <mergeCell ref="A5:A6"/>
    <mergeCell ref="B5:D5"/>
    <mergeCell ref="E5:E6"/>
    <mergeCell ref="F7:F9"/>
    <mergeCell ref="F5:F6"/>
  </mergeCells>
  <pageMargins left="0.39370078740157483" right="0.39370078740157483" top="0.98425196850393704" bottom="0.59055118110236227" header="0.31496062992125984" footer="0.31496062992125984"/>
  <pageSetup paperSize="9" scale="81" fitToHeight="0" orientation="landscape" r:id="rId1"/>
  <headerFooter>
    <oddFooter>&amp;CСтраница &amp;P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
  <sheetViews>
    <sheetView zoomScale="70" zoomScaleNormal="70" workbookViewId="0">
      <selection activeCell="A5" sqref="A5:B6"/>
    </sheetView>
  </sheetViews>
  <sheetFormatPr defaultRowHeight="13.8" x14ac:dyDescent="0.25"/>
  <cols>
    <col min="1" max="1" width="79.8984375" customWidth="1"/>
    <col min="5" max="5" width="70.3984375" customWidth="1"/>
  </cols>
  <sheetData>
    <row r="1" spans="1:5" x14ac:dyDescent="0.25">
      <c r="E1" s="9" t="s">
        <v>30</v>
      </c>
    </row>
    <row r="3" spans="1:5" x14ac:dyDescent="0.25">
      <c r="A3" s="130" t="s">
        <v>31</v>
      </c>
      <c r="B3" s="130"/>
      <c r="C3" s="130"/>
      <c r="D3" s="130"/>
      <c r="E3" s="130"/>
    </row>
    <row r="4" spans="1:5" x14ac:dyDescent="0.25">
      <c r="A4" s="7"/>
      <c r="B4" s="7"/>
      <c r="C4" s="7"/>
      <c r="D4" s="7"/>
      <c r="E4" s="7"/>
    </row>
    <row r="5" spans="1:5" ht="37.799999999999997" customHeight="1" x14ac:dyDescent="0.25">
      <c r="A5" s="131" t="s">
        <v>22</v>
      </c>
      <c r="B5" s="131" t="s">
        <v>1</v>
      </c>
      <c r="C5" s="131"/>
      <c r="D5" s="131" t="s">
        <v>2</v>
      </c>
      <c r="E5" s="134" t="s">
        <v>13</v>
      </c>
    </row>
    <row r="6" spans="1:5" ht="52.8" x14ac:dyDescent="0.25">
      <c r="A6" s="131"/>
      <c r="B6" s="2" t="s">
        <v>24</v>
      </c>
      <c r="C6" s="2" t="s">
        <v>27</v>
      </c>
      <c r="D6" s="131"/>
      <c r="E6" s="134"/>
    </row>
    <row r="7" spans="1:5" x14ac:dyDescent="0.25">
      <c r="A7" s="2">
        <v>1</v>
      </c>
      <c r="B7" s="2">
        <v>2</v>
      </c>
      <c r="C7" s="2">
        <v>3</v>
      </c>
      <c r="D7" s="2">
        <v>4</v>
      </c>
      <c r="E7" s="8">
        <v>5</v>
      </c>
    </row>
    <row r="8" spans="1:5" ht="345" x14ac:dyDescent="0.25">
      <c r="A8" s="6" t="s">
        <v>23</v>
      </c>
      <c r="B8" s="10">
        <v>10</v>
      </c>
      <c r="C8" s="10" t="s">
        <v>7</v>
      </c>
      <c r="D8" s="6" t="s">
        <v>25</v>
      </c>
      <c r="E8" s="6" t="s">
        <v>26</v>
      </c>
    </row>
    <row r="9" spans="1:5" ht="151.80000000000001" x14ac:dyDescent="0.25">
      <c r="A9" s="6" t="s">
        <v>28</v>
      </c>
      <c r="B9" s="10" t="s">
        <v>7</v>
      </c>
      <c r="C9" s="10">
        <v>0</v>
      </c>
      <c r="D9" s="6" t="s">
        <v>29</v>
      </c>
      <c r="E9" s="6" t="s">
        <v>45</v>
      </c>
    </row>
  </sheetData>
  <mergeCells count="5">
    <mergeCell ref="A3:E3"/>
    <mergeCell ref="A5:A6"/>
    <mergeCell ref="B5:C5"/>
    <mergeCell ref="D5:D6"/>
    <mergeCell ref="E5:E6"/>
  </mergeCells>
  <pageMargins left="0.39370078740157483" right="0.39370078740157483" top="0.98425196850393704" bottom="0.59055118110236227" header="0.31496062992125984" footer="0.31496062992125984"/>
  <pageSetup paperSize="9" scale="72" fitToHeight="0" orientation="landscape" r:id="rId1"/>
  <headerFooter>
    <oddFooter>&amp;CСтраница &amp;P из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4"/>
  <sheetViews>
    <sheetView zoomScale="70" zoomScaleNormal="70" workbookViewId="0">
      <selection activeCell="A5" sqref="A5:B6"/>
    </sheetView>
  </sheetViews>
  <sheetFormatPr defaultRowHeight="13.8" x14ac:dyDescent="0.25"/>
  <cols>
    <col min="1" max="1" width="79.8984375" customWidth="1"/>
    <col min="5" max="5" width="70.3984375" customWidth="1"/>
  </cols>
  <sheetData>
    <row r="1" spans="1:5" x14ac:dyDescent="0.25">
      <c r="E1" s="9" t="s">
        <v>49</v>
      </c>
    </row>
    <row r="3" spans="1:5" x14ac:dyDescent="0.25">
      <c r="A3" s="130" t="s">
        <v>32</v>
      </c>
      <c r="B3" s="130"/>
      <c r="C3" s="130"/>
      <c r="D3" s="130"/>
      <c r="E3" s="130"/>
    </row>
    <row r="4" spans="1:5" x14ac:dyDescent="0.25">
      <c r="A4" s="7"/>
      <c r="B4" s="7"/>
      <c r="C4" s="7"/>
      <c r="D4" s="7"/>
      <c r="E4" s="7"/>
    </row>
    <row r="5" spans="1:5" ht="37.799999999999997" customHeight="1" x14ac:dyDescent="0.25">
      <c r="A5" s="131" t="s">
        <v>33</v>
      </c>
      <c r="B5" s="131" t="s">
        <v>1</v>
      </c>
      <c r="C5" s="131"/>
      <c r="D5" s="131" t="s">
        <v>2</v>
      </c>
      <c r="E5" s="134" t="s">
        <v>13</v>
      </c>
    </row>
    <row r="6" spans="1:5" ht="52.8" x14ac:dyDescent="0.25">
      <c r="A6" s="131"/>
      <c r="B6" s="2" t="s">
        <v>3</v>
      </c>
      <c r="C6" s="127" t="s">
        <v>44</v>
      </c>
      <c r="D6" s="131"/>
      <c r="E6" s="134"/>
    </row>
    <row r="7" spans="1:5" x14ac:dyDescent="0.25">
      <c r="A7" s="2">
        <v>1</v>
      </c>
      <c r="B7" s="2">
        <v>2</v>
      </c>
      <c r="C7" s="2">
        <v>3</v>
      </c>
      <c r="D7" s="2">
        <v>4</v>
      </c>
      <c r="E7" s="8">
        <v>5</v>
      </c>
    </row>
    <row r="8" spans="1:5" ht="372.6" x14ac:dyDescent="0.25">
      <c r="A8" s="6" t="s">
        <v>34</v>
      </c>
      <c r="B8" s="10">
        <v>0</v>
      </c>
      <c r="C8" s="10">
        <v>0</v>
      </c>
      <c r="D8" s="6" t="s">
        <v>35</v>
      </c>
      <c r="E8" s="6" t="s">
        <v>36</v>
      </c>
    </row>
    <row r="9" spans="1:5" x14ac:dyDescent="0.25">
      <c r="A9" s="6" t="s">
        <v>68</v>
      </c>
      <c r="B9" s="10">
        <v>0</v>
      </c>
      <c r="C9" s="10">
        <v>0</v>
      </c>
      <c r="D9" s="6" t="s">
        <v>43</v>
      </c>
      <c r="E9" s="6"/>
    </row>
    <row r="10" spans="1:5" ht="82.8" x14ac:dyDescent="0.25">
      <c r="A10" s="6" t="s">
        <v>37</v>
      </c>
      <c r="B10" s="10">
        <v>0</v>
      </c>
      <c r="C10" s="10">
        <v>0</v>
      </c>
      <c r="D10" s="6" t="s">
        <v>43</v>
      </c>
      <c r="E10" s="6" t="s">
        <v>38</v>
      </c>
    </row>
    <row r="11" spans="1:5" x14ac:dyDescent="0.25">
      <c r="A11" s="6" t="s">
        <v>39</v>
      </c>
      <c r="B11" s="10">
        <v>0</v>
      </c>
      <c r="C11" s="10">
        <v>0</v>
      </c>
      <c r="D11" s="6" t="s">
        <v>43</v>
      </c>
      <c r="E11" s="6"/>
    </row>
    <row r="12" spans="1:5" ht="55.2" x14ac:dyDescent="0.25">
      <c r="A12" s="6" t="s">
        <v>40</v>
      </c>
      <c r="B12" s="10">
        <v>0</v>
      </c>
      <c r="C12" s="10">
        <v>0</v>
      </c>
      <c r="D12" s="6" t="s">
        <v>43</v>
      </c>
      <c r="E12" s="6"/>
    </row>
    <row r="13" spans="1:5" ht="386.4" x14ac:dyDescent="0.25">
      <c r="A13" s="6" t="s">
        <v>46</v>
      </c>
      <c r="B13" s="10">
        <v>0</v>
      </c>
      <c r="C13" s="10">
        <v>0</v>
      </c>
      <c r="D13" s="6" t="s">
        <v>43</v>
      </c>
      <c r="E13" s="6" t="s">
        <v>42</v>
      </c>
    </row>
    <row r="14" spans="1:5" ht="69" x14ac:dyDescent="0.25">
      <c r="A14" s="6" t="s">
        <v>41</v>
      </c>
      <c r="B14" s="10" t="s">
        <v>7</v>
      </c>
      <c r="C14" s="10">
        <v>0</v>
      </c>
      <c r="D14" s="6" t="s">
        <v>43</v>
      </c>
      <c r="E14" s="6"/>
    </row>
  </sheetData>
  <mergeCells count="5">
    <mergeCell ref="A3:E3"/>
    <mergeCell ref="A5:A6"/>
    <mergeCell ref="B5:C5"/>
    <mergeCell ref="D5:D6"/>
    <mergeCell ref="E5:E6"/>
  </mergeCells>
  <pageMargins left="0.39370078740157483" right="0.39370078740157483" top="0.98425196850393704" bottom="0.74803149606299213" header="0.31496062992125984" footer="0.31496062992125984"/>
  <pageSetup paperSize="9" scale="72" fitToHeight="0" orientation="landscape" r:id="rId1"/>
  <headerFooter>
    <oddFooter>&amp;CСтраница &amp;P из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7"/>
  <sheetViews>
    <sheetView zoomScale="85" zoomScaleNormal="85" workbookViewId="0">
      <selection activeCell="A5" sqref="A5:B6"/>
    </sheetView>
  </sheetViews>
  <sheetFormatPr defaultRowHeight="13.8" x14ac:dyDescent="0.25"/>
  <cols>
    <col min="1" max="1" width="90.3984375" customWidth="1"/>
    <col min="2" max="2" width="12" customWidth="1"/>
    <col min="4" max="4" width="59.296875" customWidth="1"/>
  </cols>
  <sheetData>
    <row r="1" spans="1:4" x14ac:dyDescent="0.25">
      <c r="D1" s="9" t="s">
        <v>48</v>
      </c>
    </row>
    <row r="3" spans="1:4" x14ac:dyDescent="0.25">
      <c r="A3" s="130" t="s">
        <v>47</v>
      </c>
      <c r="B3" s="130"/>
      <c r="C3" s="130"/>
      <c r="D3" s="130"/>
    </row>
    <row r="4" spans="1:4" x14ac:dyDescent="0.25">
      <c r="A4" s="11"/>
      <c r="B4" s="11"/>
      <c r="C4" s="11"/>
      <c r="D4" s="11"/>
    </row>
    <row r="5" spans="1:4" ht="39.6" x14ac:dyDescent="0.25">
      <c r="A5" s="131" t="s">
        <v>51</v>
      </c>
      <c r="B5" s="14" t="s">
        <v>55</v>
      </c>
      <c r="C5" s="131" t="s">
        <v>2</v>
      </c>
      <c r="D5" s="134" t="s">
        <v>13</v>
      </c>
    </row>
    <row r="6" spans="1:4" ht="26.4" x14ac:dyDescent="0.25">
      <c r="A6" s="131"/>
      <c r="B6" s="12" t="s">
        <v>67</v>
      </c>
      <c r="C6" s="131"/>
      <c r="D6" s="134"/>
    </row>
    <row r="7" spans="1:4" x14ac:dyDescent="0.25">
      <c r="A7" s="12">
        <v>1</v>
      </c>
      <c r="B7" s="12">
        <v>2</v>
      </c>
      <c r="C7" s="12">
        <v>3</v>
      </c>
      <c r="D7" s="13">
        <v>4</v>
      </c>
    </row>
    <row r="8" spans="1:4" ht="96.6" x14ac:dyDescent="0.25">
      <c r="A8" s="6" t="s">
        <v>50</v>
      </c>
      <c r="B8" s="15" t="s">
        <v>56</v>
      </c>
      <c r="C8" s="6" t="s">
        <v>66</v>
      </c>
      <c r="D8" s="6"/>
    </row>
    <row r="9" spans="1:4" ht="69" x14ac:dyDescent="0.25">
      <c r="A9" s="6" t="s">
        <v>61</v>
      </c>
      <c r="B9" s="10" t="s">
        <v>57</v>
      </c>
      <c r="C9" s="10" t="s">
        <v>57</v>
      </c>
      <c r="D9" s="6"/>
    </row>
    <row r="10" spans="1:4" ht="82.8" x14ac:dyDescent="0.25">
      <c r="A10" s="6" t="s">
        <v>62</v>
      </c>
      <c r="B10" s="10" t="s">
        <v>57</v>
      </c>
      <c r="C10" s="10" t="s">
        <v>57</v>
      </c>
      <c r="D10" s="6"/>
    </row>
    <row r="11" spans="1:4" ht="82.8" x14ac:dyDescent="0.25">
      <c r="A11" s="6" t="s">
        <v>63</v>
      </c>
      <c r="B11" s="10" t="s">
        <v>57</v>
      </c>
      <c r="C11" s="10" t="s">
        <v>57</v>
      </c>
      <c r="D11" s="6"/>
    </row>
    <row r="12" spans="1:4" ht="55.2" x14ac:dyDescent="0.25">
      <c r="A12" s="6" t="s">
        <v>52</v>
      </c>
      <c r="B12" s="10" t="s">
        <v>57</v>
      </c>
      <c r="C12" s="10" t="s">
        <v>57</v>
      </c>
      <c r="D12" s="6"/>
    </row>
    <row r="13" spans="1:4" ht="165.6" x14ac:dyDescent="0.25">
      <c r="A13" s="6" t="s">
        <v>53</v>
      </c>
      <c r="B13" s="10" t="s">
        <v>57</v>
      </c>
      <c r="C13" s="10" t="s">
        <v>57</v>
      </c>
      <c r="D13" s="6"/>
    </row>
    <row r="14" spans="1:4" ht="276" x14ac:dyDescent="0.25">
      <c r="A14" s="6" t="s">
        <v>64</v>
      </c>
      <c r="B14" s="15" t="s">
        <v>54</v>
      </c>
      <c r="C14" s="10" t="s">
        <v>57</v>
      </c>
      <c r="D14" s="6" t="s">
        <v>65</v>
      </c>
    </row>
    <row r="15" spans="1:4" ht="151.80000000000001" x14ac:dyDescent="0.25">
      <c r="A15" s="6" t="s">
        <v>58</v>
      </c>
      <c r="B15" s="6" t="s">
        <v>59</v>
      </c>
      <c r="C15" s="10" t="s">
        <v>57</v>
      </c>
      <c r="D15" s="16"/>
    </row>
    <row r="16" spans="1:4" x14ac:dyDescent="0.25">
      <c r="A16" s="17"/>
    </row>
    <row r="17" spans="1:4" ht="41.4" customHeight="1" x14ac:dyDescent="0.25">
      <c r="A17" s="135" t="s">
        <v>60</v>
      </c>
      <c r="B17" s="135"/>
      <c r="C17" s="135"/>
      <c r="D17" s="135"/>
    </row>
  </sheetData>
  <mergeCells count="5">
    <mergeCell ref="A17:D17"/>
    <mergeCell ref="A3:D3"/>
    <mergeCell ref="A5:A6"/>
    <mergeCell ref="C5:C6"/>
    <mergeCell ref="D5:D6"/>
  </mergeCells>
  <pageMargins left="0.39370078740157483" right="0.39370078740157483" top="0.98425196850393704" bottom="0.59055118110236227" header="0.31496062992125984" footer="0.31496062992125984"/>
  <pageSetup paperSize="9" scale="75" fitToHeight="0" orientation="landscape" r:id="rId1"/>
  <headerFooter>
    <oddFooter>&amp;CСтраница &amp;P из &amp;N</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26"/>
  <sheetViews>
    <sheetView tabSelected="1" topLeftCell="A11" zoomScaleNormal="100" workbookViewId="0">
      <selection activeCell="E15" sqref="E15"/>
    </sheetView>
  </sheetViews>
  <sheetFormatPr defaultColWidth="8.19921875" defaultRowHeight="13.2" x14ac:dyDescent="0.25"/>
  <cols>
    <col min="1" max="1" width="16.296875" style="51" customWidth="1"/>
    <col min="2" max="2" width="18.3984375" style="51" customWidth="1"/>
    <col min="3" max="3" width="20" style="39" customWidth="1"/>
    <col min="4" max="4" width="8.796875" style="39" bestFit="1" customWidth="1"/>
    <col min="5" max="7" width="8.19921875" style="39" bestFit="1" customWidth="1"/>
    <col min="8" max="8" width="7" style="39" bestFit="1" customWidth="1"/>
    <col min="9" max="9" width="7.3984375" style="39" bestFit="1" customWidth="1"/>
    <col min="10" max="11" width="6.796875" style="39" bestFit="1" customWidth="1"/>
    <col min="12" max="12" width="8.19921875" style="39" bestFit="1" customWidth="1"/>
    <col min="13" max="13" width="13.5" style="39" customWidth="1"/>
    <col min="14" max="14" width="10.69921875" style="45" customWidth="1"/>
    <col min="15" max="15" width="12.19921875" style="39" bestFit="1" customWidth="1"/>
    <col min="16" max="16" width="13.3984375" style="39" bestFit="1" customWidth="1"/>
    <col min="17" max="17" width="8.09765625" style="39" bestFit="1" customWidth="1"/>
    <col min="18" max="18" width="8.19921875" style="39" bestFit="1" customWidth="1"/>
    <col min="19" max="19" width="14.8984375" style="39" customWidth="1"/>
    <col min="20" max="20" width="4.8984375" style="39" bestFit="1" customWidth="1"/>
    <col min="21" max="21" width="8.69921875" style="39" bestFit="1" customWidth="1"/>
    <col min="22" max="22" width="9.3984375" style="39" customWidth="1"/>
    <col min="23" max="23" width="9.59765625" style="39" customWidth="1"/>
    <col min="24" max="24" width="15" style="39" customWidth="1"/>
    <col min="25" max="25" width="4.8984375" style="39" bestFit="1" customWidth="1"/>
    <col min="26" max="26" width="7.69921875" style="39" bestFit="1" customWidth="1"/>
    <col min="27" max="28" width="8.69921875" style="39" bestFit="1" customWidth="1"/>
    <col min="29" max="29" width="17.5" style="39" customWidth="1"/>
    <col min="30" max="30" width="15" style="39" customWidth="1"/>
    <col min="31" max="31" width="0" style="39" hidden="1" customWidth="1"/>
    <col min="32" max="16384" width="8.19921875" style="39"/>
  </cols>
  <sheetData>
    <row r="1" spans="1:31" x14ac:dyDescent="0.25">
      <c r="AD1" s="61" t="s">
        <v>147</v>
      </c>
    </row>
    <row r="3" spans="1:31" ht="28.2" customHeight="1" thickBot="1" x14ac:dyDescent="0.3">
      <c r="A3" s="146" t="s">
        <v>159</v>
      </c>
      <c r="B3" s="146"/>
      <c r="C3" s="146"/>
      <c r="D3" s="146"/>
      <c r="E3" s="146"/>
      <c r="F3" s="146"/>
      <c r="G3" s="146"/>
      <c r="H3" s="146"/>
      <c r="I3" s="146"/>
      <c r="J3" s="146"/>
      <c r="K3" s="146"/>
      <c r="L3" s="146"/>
      <c r="M3" s="146"/>
      <c r="N3" s="146"/>
      <c r="O3" s="146"/>
      <c r="P3" s="146"/>
      <c r="Q3" s="146"/>
      <c r="R3" s="146"/>
      <c r="S3" s="146"/>
      <c r="T3" s="146"/>
      <c r="U3" s="146"/>
      <c r="V3" s="146"/>
      <c r="W3" s="146"/>
      <c r="X3" s="146"/>
      <c r="Y3" s="146"/>
      <c r="Z3" s="146"/>
      <c r="AA3" s="146"/>
      <c r="AB3" s="146"/>
      <c r="AC3" s="146"/>
      <c r="AD3" s="146"/>
    </row>
    <row r="4" spans="1:31" ht="67.5" customHeight="1" thickTop="1" x14ac:dyDescent="0.25">
      <c r="A4" s="144" t="s">
        <v>105</v>
      </c>
      <c r="B4" s="140" t="s">
        <v>106</v>
      </c>
      <c r="C4" s="144" t="s">
        <v>107</v>
      </c>
      <c r="D4" s="142" t="s">
        <v>108</v>
      </c>
      <c r="E4" s="142"/>
      <c r="F4" s="142"/>
      <c r="G4" s="142"/>
      <c r="H4" s="142" t="s">
        <v>146</v>
      </c>
      <c r="I4" s="142" t="s">
        <v>109</v>
      </c>
      <c r="J4" s="142"/>
      <c r="K4" s="142"/>
      <c r="L4" s="142"/>
      <c r="M4" s="142" t="s">
        <v>110</v>
      </c>
      <c r="N4" s="142" t="s">
        <v>111</v>
      </c>
      <c r="O4" s="142" t="s">
        <v>112</v>
      </c>
      <c r="P4" s="142"/>
      <c r="Q4" s="142"/>
      <c r="R4" s="142"/>
      <c r="S4" s="142" t="s">
        <v>113</v>
      </c>
      <c r="T4" s="142" t="s">
        <v>114</v>
      </c>
      <c r="U4" s="142"/>
      <c r="V4" s="142"/>
      <c r="W4" s="142"/>
      <c r="X4" s="142" t="s">
        <v>115</v>
      </c>
      <c r="Y4" s="142" t="s">
        <v>116</v>
      </c>
      <c r="Z4" s="142"/>
      <c r="AA4" s="142"/>
      <c r="AB4" s="142"/>
      <c r="AC4" s="142" t="s">
        <v>148</v>
      </c>
      <c r="AD4" s="150" t="s">
        <v>117</v>
      </c>
    </row>
    <row r="5" spans="1:31" x14ac:dyDescent="0.25">
      <c r="A5" s="145"/>
      <c r="B5" s="141"/>
      <c r="C5" s="145"/>
      <c r="D5" s="40">
        <v>2012</v>
      </c>
      <c r="E5" s="40">
        <v>2013</v>
      </c>
      <c r="F5" s="40">
        <v>2014</v>
      </c>
      <c r="G5" s="40">
        <v>2015</v>
      </c>
      <c r="H5" s="143"/>
      <c r="I5" s="40">
        <v>2012</v>
      </c>
      <c r="J5" s="40">
        <v>2013</v>
      </c>
      <c r="K5" s="40">
        <v>2014</v>
      </c>
      <c r="L5" s="40">
        <v>2015</v>
      </c>
      <c r="M5" s="143"/>
      <c r="N5" s="143"/>
      <c r="O5" s="41">
        <v>2012</v>
      </c>
      <c r="P5" s="40">
        <v>2013</v>
      </c>
      <c r="Q5" s="40">
        <v>2014</v>
      </c>
      <c r="R5" s="40">
        <v>2015</v>
      </c>
      <c r="S5" s="143"/>
      <c r="T5" s="40">
        <v>2012</v>
      </c>
      <c r="U5" s="40">
        <v>2013</v>
      </c>
      <c r="V5" s="40">
        <v>2014</v>
      </c>
      <c r="W5" s="40">
        <v>2015</v>
      </c>
      <c r="X5" s="143"/>
      <c r="Y5" s="40">
        <v>2012</v>
      </c>
      <c r="Z5" s="40">
        <v>2013</v>
      </c>
      <c r="AA5" s="40">
        <v>2014</v>
      </c>
      <c r="AB5" s="40">
        <v>2015</v>
      </c>
      <c r="AC5" s="143"/>
      <c r="AD5" s="151"/>
    </row>
    <row r="6" spans="1:31" s="45" customFormat="1" ht="26.4" x14ac:dyDescent="0.25">
      <c r="A6" s="42">
        <v>1</v>
      </c>
      <c r="B6" s="42">
        <v>2</v>
      </c>
      <c r="C6" s="42" t="s">
        <v>149</v>
      </c>
      <c r="D6" s="42">
        <v>3</v>
      </c>
      <c r="E6" s="42">
        <v>4</v>
      </c>
      <c r="F6" s="42">
        <v>5</v>
      </c>
      <c r="G6" s="42">
        <v>6</v>
      </c>
      <c r="H6" s="42">
        <v>7</v>
      </c>
      <c r="I6" s="42" t="s">
        <v>118</v>
      </c>
      <c r="J6" s="42" t="s">
        <v>119</v>
      </c>
      <c r="K6" s="42" t="s">
        <v>120</v>
      </c>
      <c r="L6" s="42" t="s">
        <v>121</v>
      </c>
      <c r="M6" s="42" t="s">
        <v>122</v>
      </c>
      <c r="N6" s="42">
        <v>13</v>
      </c>
      <c r="O6" s="42" t="s">
        <v>123</v>
      </c>
      <c r="P6" s="42" t="s">
        <v>124</v>
      </c>
      <c r="Q6" s="43" t="s">
        <v>125</v>
      </c>
      <c r="R6" s="43" t="s">
        <v>126</v>
      </c>
      <c r="S6" s="42" t="s">
        <v>127</v>
      </c>
      <c r="T6" s="42">
        <v>19</v>
      </c>
      <c r="U6" s="42" t="s">
        <v>128</v>
      </c>
      <c r="V6" s="42" t="s">
        <v>129</v>
      </c>
      <c r="W6" s="42" t="s">
        <v>130</v>
      </c>
      <c r="X6" s="42" t="s">
        <v>131</v>
      </c>
      <c r="Y6" s="42">
        <v>24</v>
      </c>
      <c r="Z6" s="42" t="s">
        <v>132</v>
      </c>
      <c r="AA6" s="42" t="s">
        <v>133</v>
      </c>
      <c r="AB6" s="42" t="s">
        <v>134</v>
      </c>
      <c r="AC6" s="42" t="s">
        <v>135</v>
      </c>
      <c r="AD6" s="44" t="s">
        <v>136</v>
      </c>
    </row>
    <row r="7" spans="1:31" ht="52.8" x14ac:dyDescent="0.25">
      <c r="A7" s="136" t="s">
        <v>154</v>
      </c>
      <c r="B7" s="139" t="s">
        <v>104</v>
      </c>
      <c r="C7" s="128" t="s">
        <v>137</v>
      </c>
      <c r="D7" s="63">
        <v>23485</v>
      </c>
      <c r="E7" s="64">
        <v>117342</v>
      </c>
      <c r="F7" s="64">
        <v>288327</v>
      </c>
      <c r="G7" s="64">
        <v>620843</v>
      </c>
      <c r="H7" s="65">
        <v>0.18</v>
      </c>
      <c r="I7" s="63">
        <f>D7*$H7</f>
        <v>4227.3</v>
      </c>
      <c r="J7" s="63">
        <f>E7*$H7</f>
        <v>21121.559999999998</v>
      </c>
      <c r="K7" s="63">
        <f>F7*$H7</f>
        <v>51898.86</v>
      </c>
      <c r="L7" s="63">
        <f>G7*$H7</f>
        <v>111751.73999999999</v>
      </c>
      <c r="M7" s="63">
        <f>I7+J7+K7+L7</f>
        <v>188999.46</v>
      </c>
      <c r="N7" s="66" t="s">
        <v>138</v>
      </c>
      <c r="O7" s="67">
        <f>D7*15.5/100</f>
        <v>3640.1750000000002</v>
      </c>
      <c r="P7" s="67">
        <f>E7*15/100</f>
        <v>17601.3</v>
      </c>
      <c r="Q7" s="67">
        <f>F7*13.5/100</f>
        <v>38924.144999999997</v>
      </c>
      <c r="R7" s="67">
        <f>G7*13.5/100</f>
        <v>83813.804999999993</v>
      </c>
      <c r="S7" s="67">
        <f>O7+P7+Q7+R7</f>
        <v>143979.42499999999</v>
      </c>
      <c r="T7" s="64" t="s">
        <v>77</v>
      </c>
      <c r="U7" s="64">
        <f>P7-O7</f>
        <v>13961.125</v>
      </c>
      <c r="V7" s="64">
        <f>Q7-O7</f>
        <v>35283.969999999994</v>
      </c>
      <c r="W7" s="64">
        <f>R7-O7</f>
        <v>80173.62999999999</v>
      </c>
      <c r="X7" s="64">
        <f>SUM(U7:W7)</f>
        <v>129418.72499999998</v>
      </c>
      <c r="Y7" s="64" t="s">
        <v>77</v>
      </c>
      <c r="Z7" s="67">
        <f>J7-P7</f>
        <v>3520.2599999999984</v>
      </c>
      <c r="AA7" s="67">
        <f>K7-Q7</f>
        <v>12974.715000000004</v>
      </c>
      <c r="AB7" s="67">
        <f>L7-R7</f>
        <v>27937.934999999998</v>
      </c>
      <c r="AC7" s="64">
        <f>+Z7+AA7+AB7</f>
        <v>44432.91</v>
      </c>
      <c r="AD7" s="102">
        <f>(X7+X9)/(AC7+AC9)</f>
        <v>1.0873569320742198</v>
      </c>
      <c r="AE7" s="39">
        <v>6.9950000000000001</v>
      </c>
    </row>
    <row r="8" spans="1:31" s="46" customFormat="1" ht="13.2" hidden="1" customHeight="1" x14ac:dyDescent="0.25">
      <c r="A8" s="137"/>
      <c r="B8" s="139"/>
      <c r="C8" s="38" t="s">
        <v>74</v>
      </c>
      <c r="D8" s="68"/>
      <c r="E8" s="69"/>
      <c r="F8" s="69"/>
      <c r="G8" s="69"/>
      <c r="H8" s="70"/>
      <c r="I8" s="68"/>
      <c r="J8" s="68"/>
      <c r="K8" s="68"/>
      <c r="L8" s="68"/>
      <c r="M8" s="68"/>
      <c r="N8" s="71"/>
      <c r="O8" s="72"/>
      <c r="P8" s="72"/>
      <c r="Q8" s="72"/>
      <c r="R8" s="73">
        <f>R7/O7</f>
        <v>23.024663649412457</v>
      </c>
      <c r="S8" s="72"/>
      <c r="T8" s="69"/>
      <c r="U8" s="69"/>
      <c r="V8" s="69"/>
      <c r="W8" s="69"/>
      <c r="X8" s="69"/>
      <c r="Y8" s="69"/>
      <c r="Z8" s="72"/>
      <c r="AA8" s="72"/>
      <c r="AB8" s="72"/>
      <c r="AC8" s="69">
        <f t="shared" ref="AC8" si="0">+Z8+AA8+AB8</f>
        <v>0</v>
      </c>
      <c r="AD8" s="103"/>
    </row>
    <row r="9" spans="1:31" ht="39.6" x14ac:dyDescent="0.25">
      <c r="A9" s="137"/>
      <c r="B9" s="139" t="s">
        <v>139</v>
      </c>
      <c r="C9" s="62" t="s">
        <v>151</v>
      </c>
      <c r="D9" s="63">
        <v>1133373</v>
      </c>
      <c r="E9" s="64">
        <v>1720238</v>
      </c>
      <c r="F9" s="64">
        <f>858752+977883</f>
        <v>1836635</v>
      </c>
      <c r="G9" s="64">
        <f>882994+850246</f>
        <v>1733240</v>
      </c>
      <c r="H9" s="74">
        <v>2.1999999999999999E-2</v>
      </c>
      <c r="I9" s="63">
        <f>D9*$H9</f>
        <v>24934.205999999998</v>
      </c>
      <c r="J9" s="63">
        <f t="shared" ref="J9:L9" si="1">E9*$H9</f>
        <v>37845.235999999997</v>
      </c>
      <c r="K9" s="63">
        <f t="shared" si="1"/>
        <v>40405.97</v>
      </c>
      <c r="L9" s="63">
        <f t="shared" si="1"/>
        <v>38131.279999999999</v>
      </c>
      <c r="M9" s="63">
        <f>SUM(I9:L9)</f>
        <v>141316.69199999998</v>
      </c>
      <c r="N9" s="74">
        <v>2.1999999999999999E-2</v>
      </c>
      <c r="O9" s="67">
        <f>D9*$N9</f>
        <v>24934.205999999998</v>
      </c>
      <c r="P9" s="67">
        <f>E9*$N9</f>
        <v>37845.235999999997</v>
      </c>
      <c r="Q9" s="67">
        <f>858752*$N9</f>
        <v>18892.543999999998</v>
      </c>
      <c r="R9" s="67">
        <f>882994*$N9</f>
        <v>19425.867999999999</v>
      </c>
      <c r="S9" s="67">
        <f>O9+P9+Q9+R9</f>
        <v>101097.85399999999</v>
      </c>
      <c r="T9" s="64" t="s">
        <v>77</v>
      </c>
      <c r="U9" s="64" t="s">
        <v>77</v>
      </c>
      <c r="V9" s="64">
        <f>Q9-P9</f>
        <v>-18952.691999999999</v>
      </c>
      <c r="W9" s="64">
        <f>R9-P9</f>
        <v>-18419.367999999999</v>
      </c>
      <c r="X9" s="64">
        <f>SUM(U9:W9)</f>
        <v>-37372.06</v>
      </c>
      <c r="Y9" s="64" t="s">
        <v>77</v>
      </c>
      <c r="Z9" s="67">
        <f>J9-P9</f>
        <v>0</v>
      </c>
      <c r="AA9" s="67">
        <f>K9-Q9</f>
        <v>21513.426000000003</v>
      </c>
      <c r="AB9" s="67">
        <f t="shared" ref="AB9" si="2">L9-R9</f>
        <v>18705.412</v>
      </c>
      <c r="AC9" s="64">
        <f>+Z9+AA9+AB9</f>
        <v>40218.838000000003</v>
      </c>
      <c r="AD9" s="104"/>
    </row>
    <row r="10" spans="1:31" s="47" customFormat="1" ht="13.2" hidden="1" customHeight="1" x14ac:dyDescent="0.25">
      <c r="A10" s="138"/>
      <c r="B10" s="139"/>
      <c r="C10" s="75" t="s">
        <v>140</v>
      </c>
      <c r="D10" s="76">
        <v>274291</v>
      </c>
      <c r="E10" s="77"/>
      <c r="F10" s="77"/>
      <c r="G10" s="77"/>
      <c r="H10" s="78">
        <v>0.18</v>
      </c>
      <c r="I10" s="76">
        <f>D10*$H10</f>
        <v>49372.38</v>
      </c>
      <c r="J10" s="76"/>
      <c r="K10" s="76"/>
      <c r="L10" s="76"/>
      <c r="M10" s="76"/>
      <c r="N10" s="79"/>
      <c r="O10" s="80"/>
      <c r="P10" s="81">
        <f>+P7/O7</f>
        <v>4.8352895121800454</v>
      </c>
      <c r="Q10" s="81">
        <f>+Q7/P7</f>
        <v>2.2114358030372756</v>
      </c>
      <c r="R10" s="81">
        <f>+R7/Q7</f>
        <v>2.1532600138037714</v>
      </c>
      <c r="S10" s="81">
        <f>+P10*Q10*R10</f>
        <v>23.024663649412453</v>
      </c>
      <c r="T10" s="77"/>
      <c r="U10" s="77"/>
      <c r="V10" s="77"/>
      <c r="W10" s="77"/>
      <c r="X10" s="77">
        <f t="shared" ref="X10:X18" si="3">SUM(U10:W10)</f>
        <v>0</v>
      </c>
      <c r="Y10" s="77"/>
      <c r="Z10" s="80"/>
      <c r="AA10" s="80"/>
      <c r="AB10" s="80"/>
      <c r="AC10" s="77"/>
      <c r="AD10" s="105"/>
    </row>
    <row r="11" spans="1:31" ht="26.4" customHeight="1" x14ac:dyDescent="0.25">
      <c r="A11" s="136" t="s">
        <v>155</v>
      </c>
      <c r="B11" s="62" t="s">
        <v>104</v>
      </c>
      <c r="C11" s="62" t="s">
        <v>141</v>
      </c>
      <c r="D11" s="63">
        <v>104467</v>
      </c>
      <c r="E11" s="82">
        <v>71527</v>
      </c>
      <c r="F11" s="82">
        <v>101814</v>
      </c>
      <c r="G11" s="82">
        <v>156359</v>
      </c>
      <c r="H11" s="65">
        <v>0.18</v>
      </c>
      <c r="I11" s="63">
        <f>D11*H11</f>
        <v>18804.059999999998</v>
      </c>
      <c r="J11" s="64">
        <f>E11*H11</f>
        <v>12874.859999999999</v>
      </c>
      <c r="K11" s="64">
        <f>F11*H11</f>
        <v>18326.52</v>
      </c>
      <c r="L11" s="64">
        <f>G11*H11</f>
        <v>28144.62</v>
      </c>
      <c r="M11" s="63">
        <f t="shared" ref="M11" si="4">I11+J11+K11+L11</f>
        <v>78150.06</v>
      </c>
      <c r="N11" s="65">
        <v>0.13500000000000001</v>
      </c>
      <c r="O11" s="64">
        <f>D11*$H$11</f>
        <v>18804.059999999998</v>
      </c>
      <c r="P11" s="64">
        <f>E11*$H$11</f>
        <v>12874.859999999999</v>
      </c>
      <c r="Q11" s="64">
        <f>F11*N11</f>
        <v>13744.890000000001</v>
      </c>
      <c r="R11" s="64">
        <f>G11*N11</f>
        <v>21108.465</v>
      </c>
      <c r="S11" s="67">
        <f>O11+P11+Q11+R11</f>
        <v>66532.274999999994</v>
      </c>
      <c r="T11" s="64" t="s">
        <v>77</v>
      </c>
      <c r="U11" s="64" t="s">
        <v>77</v>
      </c>
      <c r="V11" s="64">
        <f>Q11-P11</f>
        <v>870.03000000000247</v>
      </c>
      <c r="W11" s="64">
        <f>R11-P11</f>
        <v>8233.6050000000014</v>
      </c>
      <c r="X11" s="64">
        <f>SUM(V11:W11)</f>
        <v>9103.6350000000039</v>
      </c>
      <c r="Y11" s="83" t="s">
        <v>77</v>
      </c>
      <c r="Z11" s="83" t="s">
        <v>77</v>
      </c>
      <c r="AA11" s="64">
        <f>K11-Q11</f>
        <v>4581.6299999999992</v>
      </c>
      <c r="AB11" s="64">
        <f>L11-R11</f>
        <v>7036.1549999999988</v>
      </c>
      <c r="AC11" s="64">
        <f>AA11+AB11</f>
        <v>11617.784999999998</v>
      </c>
      <c r="AD11" s="102">
        <f>(X11)/(AC11)</f>
        <v>0.78359472136900499</v>
      </c>
    </row>
    <row r="12" spans="1:31" ht="26.4" x14ac:dyDescent="0.25">
      <c r="A12" s="138"/>
      <c r="B12" s="84" t="s">
        <v>139</v>
      </c>
      <c r="C12" s="62" t="s">
        <v>142</v>
      </c>
      <c r="D12" s="63">
        <v>855250</v>
      </c>
      <c r="E12" s="67">
        <v>1028397</v>
      </c>
      <c r="F12" s="67">
        <v>980838</v>
      </c>
      <c r="G12" s="67">
        <v>1332291</v>
      </c>
      <c r="H12" s="74">
        <v>2.1999999999999999E-2</v>
      </c>
      <c r="I12" s="63">
        <f>D12*$H12</f>
        <v>18815.5</v>
      </c>
      <c r="J12" s="63">
        <f>E12*$H12</f>
        <v>22624.734</v>
      </c>
      <c r="K12" s="63">
        <f>F12*$H12</f>
        <v>21578.435999999998</v>
      </c>
      <c r="L12" s="64">
        <f>G12*H12</f>
        <v>29310.401999999998</v>
      </c>
      <c r="M12" s="63">
        <f>SUM(I12:L12)</f>
        <v>92329.072</v>
      </c>
      <c r="N12" s="74">
        <v>2.1999999999999999E-2</v>
      </c>
      <c r="O12" s="67">
        <f t="shared" ref="O12:R12" si="5">D12*$N12</f>
        <v>18815.5</v>
      </c>
      <c r="P12" s="67">
        <f t="shared" si="5"/>
        <v>22624.734</v>
      </c>
      <c r="Q12" s="67">
        <f t="shared" si="5"/>
        <v>21578.435999999998</v>
      </c>
      <c r="R12" s="67">
        <f t="shared" si="5"/>
        <v>29310.401999999998</v>
      </c>
      <c r="S12" s="67">
        <f>O12+P12+Q12+R12+1</f>
        <v>92330.072</v>
      </c>
      <c r="T12" s="64" t="s">
        <v>77</v>
      </c>
      <c r="U12" s="64">
        <f>P12-O12</f>
        <v>3809.2340000000004</v>
      </c>
      <c r="V12" s="64">
        <f>Q12-O12</f>
        <v>2762.9359999999979</v>
      </c>
      <c r="W12" s="64">
        <f>R12-O12</f>
        <v>10494.901999999998</v>
      </c>
      <c r="X12" s="64">
        <f>SUM(U12:W12)</f>
        <v>17067.071999999996</v>
      </c>
      <c r="Y12" s="64" t="s">
        <v>77</v>
      </c>
      <c r="Z12" s="67">
        <f t="shared" ref="Z12:AB12" si="6">J12-P12</f>
        <v>0</v>
      </c>
      <c r="AA12" s="64">
        <f t="shared" si="6"/>
        <v>0</v>
      </c>
      <c r="AB12" s="64">
        <f t="shared" si="6"/>
        <v>0</v>
      </c>
      <c r="AC12" s="64">
        <f>+Z12+AA12+AB12</f>
        <v>0</v>
      </c>
      <c r="AD12" s="104"/>
    </row>
    <row r="13" spans="1:31" ht="26.4" customHeight="1" x14ac:dyDescent="0.25">
      <c r="A13" s="136" t="s">
        <v>156</v>
      </c>
      <c r="B13" s="139" t="s">
        <v>104</v>
      </c>
      <c r="C13" s="62" t="s">
        <v>143</v>
      </c>
      <c r="D13" s="63">
        <v>76773</v>
      </c>
      <c r="E13" s="64">
        <v>30455</v>
      </c>
      <c r="F13" s="64">
        <v>207382</v>
      </c>
      <c r="G13" s="64">
        <v>28777</v>
      </c>
      <c r="H13" s="65">
        <v>0.18</v>
      </c>
      <c r="I13" s="63">
        <f>D13*H13</f>
        <v>13819.14</v>
      </c>
      <c r="J13" s="64">
        <f>E13*H13</f>
        <v>5481.9</v>
      </c>
      <c r="K13" s="64">
        <f>F13*H13</f>
        <v>37328.76</v>
      </c>
      <c r="L13" s="64">
        <f>G13*H13</f>
        <v>5179.8599999999997</v>
      </c>
      <c r="M13" s="63">
        <f>I13+J13+K13+L13</f>
        <v>61809.66</v>
      </c>
      <c r="N13" s="65">
        <v>0.13500000000000001</v>
      </c>
      <c r="O13" s="67">
        <f>D13*N13</f>
        <v>10364.355000000001</v>
      </c>
      <c r="P13" s="67">
        <f>E13*N13</f>
        <v>4111.4250000000002</v>
      </c>
      <c r="Q13" s="64">
        <f>F13*H13</f>
        <v>37328.76</v>
      </c>
      <c r="R13" s="64">
        <f>G13*H13</f>
        <v>5179.8599999999997</v>
      </c>
      <c r="S13" s="67">
        <f>O13+P13+Q13+R13</f>
        <v>56984.400000000009</v>
      </c>
      <c r="T13" s="64" t="s">
        <v>77</v>
      </c>
      <c r="U13" s="64">
        <f>P13-O13</f>
        <v>-6252.9300000000012</v>
      </c>
      <c r="V13" s="67">
        <f>Q13-O13</f>
        <v>26964.404999999999</v>
      </c>
      <c r="W13" s="67">
        <f>R13-O13</f>
        <v>-5184.4950000000017</v>
      </c>
      <c r="X13" s="64">
        <f>SUM(U13:W13)</f>
        <v>15526.979999999996</v>
      </c>
      <c r="Y13" s="64" t="s">
        <v>77</v>
      </c>
      <c r="Z13" s="67">
        <f>J13-P13</f>
        <v>1370.4749999999995</v>
      </c>
      <c r="AA13" s="83" t="s">
        <v>77</v>
      </c>
      <c r="AB13" s="83" t="s">
        <v>77</v>
      </c>
      <c r="AC13" s="64">
        <f>+Z13</f>
        <v>1370.4749999999995</v>
      </c>
      <c r="AD13" s="106">
        <f>(X13+X15)/(AC13+AC15)</f>
        <v>10.512134667223931</v>
      </c>
      <c r="AE13" s="39">
        <v>1.002</v>
      </c>
    </row>
    <row r="14" spans="1:31" s="48" customFormat="1" ht="13.2" hidden="1" customHeight="1" x14ac:dyDescent="0.25">
      <c r="A14" s="137"/>
      <c r="B14" s="139"/>
      <c r="C14" s="38" t="s">
        <v>74</v>
      </c>
      <c r="D14" s="85"/>
      <c r="E14" s="86"/>
      <c r="F14" s="86"/>
      <c r="G14" s="86"/>
      <c r="H14" s="87"/>
      <c r="I14" s="85"/>
      <c r="J14" s="86"/>
      <c r="K14" s="86"/>
      <c r="L14" s="86"/>
      <c r="M14" s="85"/>
      <c r="N14" s="87"/>
      <c r="O14" s="88"/>
      <c r="P14" s="88"/>
      <c r="Q14" s="86"/>
      <c r="R14" s="73">
        <f>R13/O13</f>
        <v>0.4997763970840442</v>
      </c>
      <c r="S14" s="88"/>
      <c r="T14" s="86"/>
      <c r="U14" s="88"/>
      <c r="V14" s="88"/>
      <c r="W14" s="88"/>
      <c r="X14" s="86"/>
      <c r="Y14" s="86"/>
      <c r="Z14" s="88"/>
      <c r="AA14" s="89"/>
      <c r="AB14" s="89"/>
      <c r="AC14" s="86"/>
      <c r="AD14" s="107"/>
    </row>
    <row r="15" spans="1:31" ht="39.6" x14ac:dyDescent="0.25">
      <c r="A15" s="137"/>
      <c r="B15" s="139" t="s">
        <v>139</v>
      </c>
      <c r="C15" s="62" t="s">
        <v>150</v>
      </c>
      <c r="D15" s="63">
        <f>1054203+696593</f>
        <v>1750796</v>
      </c>
      <c r="E15" s="64">
        <f>744356+19836.2</f>
        <v>764192.2</v>
      </c>
      <c r="F15" s="64">
        <f>1554150</f>
        <v>1554150</v>
      </c>
      <c r="G15" s="64">
        <f>1364806</f>
        <v>1364806</v>
      </c>
      <c r="H15" s="74">
        <v>2.1999999999999999E-2</v>
      </c>
      <c r="I15" s="90">
        <v>23192</v>
      </c>
      <c r="J15" s="90">
        <v>19927</v>
      </c>
      <c r="K15" s="90">
        <f>F15*$H15</f>
        <v>34191.299999999996</v>
      </c>
      <c r="L15" s="91">
        <v>31618</v>
      </c>
      <c r="M15" s="63">
        <f>SUM(I15:L15)</f>
        <v>108928.29999999999</v>
      </c>
      <c r="N15" s="74">
        <v>2.1999999999999999E-2</v>
      </c>
      <c r="O15" s="67">
        <f>696593*$N15</f>
        <v>15325.045999999998</v>
      </c>
      <c r="P15" s="67">
        <f>744356*$N15</f>
        <v>16375.831999999999</v>
      </c>
      <c r="Q15" s="67">
        <f>F15*$N15</f>
        <v>34191.299999999996</v>
      </c>
      <c r="R15" s="92">
        <v>31618</v>
      </c>
      <c r="S15" s="67">
        <f>SUM(O15:R15)</f>
        <v>97510.177999999985</v>
      </c>
      <c r="T15" s="64" t="s">
        <v>77</v>
      </c>
      <c r="U15" s="64">
        <f>P15-O15</f>
        <v>1050.7860000000001</v>
      </c>
      <c r="V15" s="67">
        <f>Q15-O15</f>
        <v>18866.253999999997</v>
      </c>
      <c r="W15" s="67">
        <f>R15-O15</f>
        <v>16292.954000000002</v>
      </c>
      <c r="X15" s="64">
        <f>SUM(T15:W15)</f>
        <v>36209.993999999999</v>
      </c>
      <c r="Y15" s="64" t="s">
        <v>77</v>
      </c>
      <c r="Z15" s="67">
        <f>J15-P15</f>
        <v>3551.1680000000015</v>
      </c>
      <c r="AA15" s="83" t="s">
        <v>77</v>
      </c>
      <c r="AB15" s="83" t="s">
        <v>77</v>
      </c>
      <c r="AC15" s="64">
        <f>+Z15</f>
        <v>3551.1680000000015</v>
      </c>
      <c r="AD15" s="104"/>
      <c r="AE15" s="49"/>
    </row>
    <row r="16" spans="1:31" s="47" customFormat="1" ht="13.2" hidden="1" customHeight="1" x14ac:dyDescent="0.25">
      <c r="A16" s="137"/>
      <c r="B16" s="139"/>
      <c r="C16" s="75" t="s">
        <v>140</v>
      </c>
      <c r="D16" s="76">
        <v>1550773</v>
      </c>
      <c r="E16" s="77"/>
      <c r="F16" s="77"/>
      <c r="G16" s="77"/>
      <c r="H16" s="93"/>
      <c r="I16" s="77">
        <v>34117</v>
      </c>
      <c r="J16" s="77"/>
      <c r="K16" s="77"/>
      <c r="L16" s="77"/>
      <c r="M16" s="76"/>
      <c r="N16" s="93"/>
      <c r="O16" s="80"/>
      <c r="P16" s="80"/>
      <c r="Q16" s="80"/>
      <c r="R16" s="80"/>
      <c r="S16" s="80"/>
      <c r="T16" s="77"/>
      <c r="U16" s="80"/>
      <c r="V16" s="80"/>
      <c r="W16" s="80"/>
      <c r="X16" s="77"/>
      <c r="Y16" s="77"/>
      <c r="Z16" s="80"/>
      <c r="AA16" s="80"/>
      <c r="AB16" s="80"/>
      <c r="AC16" s="77"/>
      <c r="AD16" s="108"/>
    </row>
    <row r="17" spans="1:31" ht="13.2" hidden="1" customHeight="1" x14ac:dyDescent="0.25">
      <c r="A17" s="138"/>
      <c r="B17" s="139"/>
      <c r="C17" s="94" t="s">
        <v>144</v>
      </c>
      <c r="D17" s="63"/>
      <c r="E17" s="64"/>
      <c r="F17" s="64"/>
      <c r="G17" s="64"/>
      <c r="H17" s="65"/>
      <c r="I17" s="63"/>
      <c r="J17" s="64"/>
      <c r="K17" s="64"/>
      <c r="L17" s="64"/>
      <c r="M17" s="63"/>
      <c r="N17" s="65"/>
      <c r="O17" s="67"/>
      <c r="P17" s="67"/>
      <c r="Q17" s="64"/>
      <c r="R17" s="64"/>
      <c r="S17" s="67"/>
      <c r="T17" s="64"/>
      <c r="U17" s="67"/>
      <c r="V17" s="67"/>
      <c r="W17" s="67"/>
      <c r="X17" s="64"/>
      <c r="Y17" s="64"/>
      <c r="Z17" s="92">
        <v>19927</v>
      </c>
      <c r="AA17" s="67"/>
      <c r="AB17" s="67"/>
      <c r="AC17" s="64"/>
      <c r="AD17" s="106"/>
    </row>
    <row r="18" spans="1:31" ht="26.4" x14ac:dyDescent="0.25">
      <c r="A18" s="147" t="s">
        <v>157</v>
      </c>
      <c r="B18" s="62" t="s">
        <v>104</v>
      </c>
      <c r="C18" s="62" t="s">
        <v>145</v>
      </c>
      <c r="D18" s="63">
        <v>979370</v>
      </c>
      <c r="E18" s="67">
        <v>1557330</v>
      </c>
      <c r="F18" s="67">
        <v>1017442</v>
      </c>
      <c r="G18" s="67">
        <v>6687952</v>
      </c>
      <c r="H18" s="65">
        <v>0.18</v>
      </c>
      <c r="I18" s="90">
        <v>176118</v>
      </c>
      <c r="J18" s="91">
        <v>280059</v>
      </c>
      <c r="K18" s="91">
        <v>182972</v>
      </c>
      <c r="L18" s="91">
        <v>1202585</v>
      </c>
      <c r="M18" s="63">
        <f>I18+J18+K18+L18</f>
        <v>1841734</v>
      </c>
      <c r="N18" s="65">
        <v>0.155</v>
      </c>
      <c r="O18" s="91">
        <v>151657</v>
      </c>
      <c r="P18" s="91">
        <v>241162</v>
      </c>
      <c r="Q18" s="92">
        <f>K18</f>
        <v>182972</v>
      </c>
      <c r="R18" s="92">
        <f>L18</f>
        <v>1202585</v>
      </c>
      <c r="S18" s="67">
        <f t="shared" ref="S18" si="7">O18+P18+Q18+R18</f>
        <v>1778376</v>
      </c>
      <c r="T18" s="64" t="s">
        <v>77</v>
      </c>
      <c r="U18" s="64">
        <f>P18-O18</f>
        <v>89505</v>
      </c>
      <c r="V18" s="64">
        <f>Q18-O18</f>
        <v>31315</v>
      </c>
      <c r="W18" s="64">
        <f>R18-O18</f>
        <v>1050928</v>
      </c>
      <c r="X18" s="64">
        <f t="shared" si="3"/>
        <v>1171748</v>
      </c>
      <c r="Y18" s="64" t="s">
        <v>77</v>
      </c>
      <c r="Z18" s="67">
        <f>J18-P18</f>
        <v>38897</v>
      </c>
      <c r="AA18" s="83" t="s">
        <v>77</v>
      </c>
      <c r="AB18" s="83" t="s">
        <v>77</v>
      </c>
      <c r="AC18" s="64">
        <f>+Z18</f>
        <v>38897</v>
      </c>
      <c r="AD18" s="102">
        <f>(X18)/(AC18)</f>
        <v>30.124379772218937</v>
      </c>
      <c r="AE18" s="39">
        <v>6.7050000000000001</v>
      </c>
    </row>
    <row r="19" spans="1:31" s="48" customFormat="1" ht="13.2" hidden="1" customHeight="1" x14ac:dyDescent="0.25">
      <c r="A19" s="148"/>
      <c r="B19" s="62"/>
      <c r="C19" s="38" t="s">
        <v>74</v>
      </c>
      <c r="D19" s="95"/>
      <c r="E19" s="95">
        <f>E18/D18</f>
        <v>1.5901344742028038</v>
      </c>
      <c r="F19" s="95">
        <f>F18/D18</f>
        <v>1.0388739700011231</v>
      </c>
      <c r="G19" s="95">
        <f>G18/D18</f>
        <v>6.8288307789701541</v>
      </c>
      <c r="H19" s="87"/>
      <c r="I19" s="85"/>
      <c r="J19" s="86"/>
      <c r="K19" s="86"/>
      <c r="L19" s="86"/>
      <c r="M19" s="85"/>
      <c r="N19" s="87"/>
      <c r="O19" s="86"/>
      <c r="P19" s="86"/>
      <c r="Q19" s="88"/>
      <c r="R19" s="73">
        <f>R18/O18</f>
        <v>7.9296372735844702</v>
      </c>
      <c r="S19" s="88"/>
      <c r="T19" s="86"/>
      <c r="U19" s="88"/>
      <c r="V19" s="88"/>
      <c r="W19" s="88"/>
      <c r="X19" s="86"/>
      <c r="Y19" s="86"/>
      <c r="Z19" s="88"/>
      <c r="AA19" s="88"/>
      <c r="AB19" s="88"/>
      <c r="AC19" s="86"/>
      <c r="AD19" s="109"/>
    </row>
    <row r="20" spans="1:31" s="47" customFormat="1" ht="13.2" hidden="1" customHeight="1" x14ac:dyDescent="0.25">
      <c r="A20" s="148"/>
      <c r="B20" s="62"/>
      <c r="C20" s="75" t="s">
        <v>140</v>
      </c>
      <c r="D20" s="76">
        <v>2631034</v>
      </c>
      <c r="E20" s="80"/>
      <c r="F20" s="80"/>
      <c r="G20" s="80"/>
      <c r="H20" s="78">
        <v>0.18</v>
      </c>
      <c r="I20" s="76">
        <f>D20*H20</f>
        <v>473586.12</v>
      </c>
      <c r="J20" s="77"/>
      <c r="K20" s="77"/>
      <c r="L20" s="77"/>
      <c r="M20" s="76"/>
      <c r="N20" s="78">
        <v>0.155</v>
      </c>
      <c r="O20" s="77">
        <f>D20*N20</f>
        <v>407810.27</v>
      </c>
      <c r="P20" s="77"/>
      <c r="Q20" s="80"/>
      <c r="R20" s="80"/>
      <c r="S20" s="80"/>
      <c r="T20" s="77"/>
      <c r="U20" s="77"/>
      <c r="V20" s="77"/>
      <c r="W20" s="77"/>
      <c r="X20" s="77"/>
      <c r="Y20" s="96" t="s">
        <v>77</v>
      </c>
      <c r="Z20" s="80"/>
      <c r="AA20" s="80"/>
      <c r="AB20" s="80"/>
      <c r="AC20" s="77"/>
      <c r="AD20" s="105"/>
    </row>
    <row r="21" spans="1:31" s="50" customFormat="1" ht="27" thickBot="1" x14ac:dyDescent="0.3">
      <c r="A21" s="149"/>
      <c r="B21" s="97" t="s">
        <v>139</v>
      </c>
      <c r="C21" s="97" t="s">
        <v>142</v>
      </c>
      <c r="D21" s="98">
        <v>5126448</v>
      </c>
      <c r="E21" s="99">
        <v>4980657</v>
      </c>
      <c r="F21" s="99">
        <v>4686679</v>
      </c>
      <c r="G21" s="99">
        <v>4730177</v>
      </c>
      <c r="H21" s="100">
        <v>2.1999999999999999E-2</v>
      </c>
      <c r="I21" s="98">
        <f>D21*H21</f>
        <v>112781.856</v>
      </c>
      <c r="J21" s="98">
        <f>E21*H21</f>
        <v>109574.454</v>
      </c>
      <c r="K21" s="98">
        <f>F21*H21</f>
        <v>103106.93799999999</v>
      </c>
      <c r="L21" s="98">
        <f>G21*H21</f>
        <v>104063.894</v>
      </c>
      <c r="M21" s="98">
        <f>SUM(I21:L21)</f>
        <v>429527.14199999999</v>
      </c>
      <c r="N21" s="100">
        <v>2.1999999999999999E-2</v>
      </c>
      <c r="O21" s="101">
        <f>D21*$N21</f>
        <v>112781.856</v>
      </c>
      <c r="P21" s="101">
        <f t="shared" ref="P21:R21" si="8">E21*$N21</f>
        <v>109574.454</v>
      </c>
      <c r="Q21" s="101">
        <f t="shared" si="8"/>
        <v>103106.93799999999</v>
      </c>
      <c r="R21" s="101">
        <f t="shared" si="8"/>
        <v>104063.894</v>
      </c>
      <c r="S21" s="101">
        <f t="shared" ref="S21" si="9">O21+P21+Q21+R21</f>
        <v>429527.14199999999</v>
      </c>
      <c r="T21" s="99" t="s">
        <v>77</v>
      </c>
      <c r="U21" s="99">
        <f>P21-O21</f>
        <v>-3207.4020000000019</v>
      </c>
      <c r="V21" s="99">
        <f>Q21-O21</f>
        <v>-9674.9180000000051</v>
      </c>
      <c r="W21" s="99">
        <f>R21-O21</f>
        <v>-8717.9619999999995</v>
      </c>
      <c r="X21" s="99">
        <f>SUM(T21:W21)</f>
        <v>-21600.282000000007</v>
      </c>
      <c r="Y21" s="99" t="s">
        <v>77</v>
      </c>
      <c r="Z21" s="101">
        <f>J21-P21</f>
        <v>0</v>
      </c>
      <c r="AA21" s="101">
        <f t="shared" ref="AA21:AB21" si="10">K21-Q21</f>
        <v>0</v>
      </c>
      <c r="AB21" s="101">
        <f t="shared" si="10"/>
        <v>0</v>
      </c>
      <c r="AC21" s="99">
        <f>+Z21+AA21+AB21</f>
        <v>0</v>
      </c>
      <c r="AD21" s="110"/>
    </row>
    <row r="22" spans="1:31" s="50" customFormat="1" ht="14.4" hidden="1" thickTop="1" thickBot="1" x14ac:dyDescent="0.3">
      <c r="A22" s="52"/>
      <c r="B22" s="53"/>
      <c r="C22" s="54" t="s">
        <v>140</v>
      </c>
      <c r="D22" s="55">
        <v>6025117</v>
      </c>
      <c r="E22" s="56"/>
      <c r="F22" s="56"/>
      <c r="G22" s="56"/>
      <c r="H22" s="57">
        <v>2.1999999999999999E-2</v>
      </c>
      <c r="I22" s="55">
        <f>D22*H22</f>
        <v>132552.57399999999</v>
      </c>
      <c r="J22" s="55"/>
      <c r="K22" s="55"/>
      <c r="L22" s="55"/>
      <c r="M22" s="58"/>
      <c r="N22" s="57"/>
      <c r="O22" s="59"/>
      <c r="P22" s="59"/>
      <c r="Q22" s="59"/>
      <c r="R22" s="59"/>
      <c r="S22" s="59"/>
      <c r="T22" s="56"/>
      <c r="U22" s="59"/>
      <c r="V22" s="56"/>
      <c r="W22" s="56"/>
      <c r="X22" s="56"/>
      <c r="Y22" s="56"/>
      <c r="Z22" s="59"/>
      <c r="AA22" s="59"/>
      <c r="AB22" s="59"/>
      <c r="AC22" s="56"/>
      <c r="AD22" s="60"/>
    </row>
    <row r="23" spans="1:31" ht="16.5" customHeight="1" thickTop="1" x14ac:dyDescent="0.25"/>
    <row r="24" spans="1:31" x14ac:dyDescent="0.25">
      <c r="X24" s="49"/>
    </row>
    <row r="26" spans="1:31" x14ac:dyDescent="0.25">
      <c r="A26" s="39"/>
      <c r="B26" s="39"/>
      <c r="N26" s="39"/>
      <c r="P26" s="49"/>
      <c r="Q26" s="49"/>
      <c r="R26" s="49"/>
      <c r="S26" s="49"/>
    </row>
  </sheetData>
  <mergeCells count="24">
    <mergeCell ref="A18:A21"/>
    <mergeCell ref="AD4:AD5"/>
    <mergeCell ref="A4:A5"/>
    <mergeCell ref="D4:G4"/>
    <mergeCell ref="H4:H5"/>
    <mergeCell ref="I4:L4"/>
    <mergeCell ref="M4:M5"/>
    <mergeCell ref="N4:N5"/>
    <mergeCell ref="O4:R4"/>
    <mergeCell ref="S4:S5"/>
    <mergeCell ref="T4:W4"/>
    <mergeCell ref="X4:X5"/>
    <mergeCell ref="A11:A12"/>
    <mergeCell ref="AC4:AC5"/>
    <mergeCell ref="C4:C5"/>
    <mergeCell ref="Y4:AB4"/>
    <mergeCell ref="A3:AD3"/>
    <mergeCell ref="B15:B17"/>
    <mergeCell ref="A13:A17"/>
    <mergeCell ref="B13:B14"/>
    <mergeCell ref="B4:B5"/>
    <mergeCell ref="A7:A10"/>
    <mergeCell ref="B7:B8"/>
    <mergeCell ref="B9:B10"/>
  </mergeCells>
  <pageMargins left="0.39370078740157483" right="0.39370078740157483" top="0.74803149606299213" bottom="0.74803149606299213" header="0.31496062992125984" footer="0.31496062992125984"/>
  <pageSetup paperSize="8" scale="58" orientation="landscape" r:id="rId1"/>
  <headerFooter>
    <oddFooter>&amp;CСтраница &amp;P из &amp;N</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45"/>
  <sheetViews>
    <sheetView zoomScale="115" zoomScaleNormal="115" workbookViewId="0">
      <selection activeCell="A5" sqref="A5:B6"/>
    </sheetView>
  </sheetViews>
  <sheetFormatPr defaultColWidth="8.19921875" defaultRowHeight="13.2" x14ac:dyDescent="0.25"/>
  <cols>
    <col min="1" max="1" width="3.69921875" style="1" customWidth="1"/>
    <col min="2" max="2" width="54.69921875" style="1" customWidth="1"/>
    <col min="3" max="3" width="14" style="1" customWidth="1"/>
    <col min="4" max="4" width="10.19921875" style="1" bestFit="1" customWidth="1"/>
    <col min="5" max="5" width="9.59765625" style="1" bestFit="1" customWidth="1"/>
    <col min="6" max="6" width="17" style="1" customWidth="1"/>
    <col min="7" max="8" width="9.59765625" style="1" customWidth="1"/>
    <col min="9" max="9" width="14.59765625" style="1" customWidth="1"/>
    <col min="10" max="11" width="9.59765625" style="1" customWidth="1"/>
    <col min="12" max="12" width="18.796875" style="1" customWidth="1"/>
    <col min="13" max="13" width="10.19921875" style="1" bestFit="1" customWidth="1"/>
    <col min="14" max="14" width="9.59765625" style="1" bestFit="1" customWidth="1"/>
    <col min="15" max="15" width="15.296875" style="1" customWidth="1"/>
    <col min="16" max="16" width="10.69921875" style="1" customWidth="1"/>
    <col min="17" max="17" width="10" style="1" customWidth="1"/>
    <col min="18" max="18" width="12.19921875" style="1" customWidth="1"/>
    <col min="19" max="21" width="10.8984375" style="1" customWidth="1"/>
    <col min="22" max="22" width="12.19921875" style="1" customWidth="1"/>
    <col min="23" max="23" width="14.3984375" style="1" customWidth="1"/>
    <col min="24" max="24" width="12.69921875" style="1" customWidth="1"/>
    <col min="25" max="27" width="12" style="1" customWidth="1"/>
    <col min="28" max="28" width="14.3984375" style="1" customWidth="1"/>
    <col min="29" max="29" width="21.59765625" style="1" customWidth="1"/>
    <col min="30" max="30" width="15.796875" style="1" customWidth="1"/>
    <col min="31" max="16384" width="8.19921875" style="1"/>
  </cols>
  <sheetData>
    <row r="1" spans="1:26" x14ac:dyDescent="0.25">
      <c r="N1" s="129" t="s">
        <v>158</v>
      </c>
    </row>
    <row r="2" spans="1:26" x14ac:dyDescent="0.25">
      <c r="L2" s="18"/>
      <c r="M2" s="18"/>
      <c r="N2" s="18"/>
      <c r="O2" s="18"/>
      <c r="P2" s="18"/>
      <c r="Q2" s="18"/>
      <c r="S2" s="18"/>
      <c r="T2" s="18"/>
      <c r="U2" s="18"/>
      <c r="V2" s="18"/>
      <c r="W2" s="18"/>
      <c r="Y2" s="18"/>
      <c r="Z2" s="18"/>
    </row>
    <row r="3" spans="1:26" ht="26.4" customHeight="1" x14ac:dyDescent="0.25">
      <c r="A3" s="152" t="s">
        <v>153</v>
      </c>
      <c r="B3" s="153"/>
      <c r="C3" s="153"/>
      <c r="D3" s="153"/>
      <c r="E3" s="153"/>
      <c r="F3" s="153"/>
      <c r="G3" s="153"/>
      <c r="H3" s="153"/>
      <c r="I3" s="153"/>
      <c r="J3" s="153"/>
      <c r="K3" s="153"/>
      <c r="L3" s="153"/>
      <c r="M3" s="153"/>
      <c r="N3" s="153"/>
    </row>
    <row r="4" spans="1:26" ht="13.8" thickBot="1" x14ac:dyDescent="0.3"/>
    <row r="5" spans="1:26" ht="30.6" customHeight="1" thickTop="1" x14ac:dyDescent="0.25">
      <c r="A5" s="165" t="s">
        <v>152</v>
      </c>
      <c r="B5" s="140"/>
      <c r="C5" s="158" t="s">
        <v>154</v>
      </c>
      <c r="D5" s="160" t="s">
        <v>72</v>
      </c>
      <c r="E5" s="161"/>
      <c r="F5" s="158" t="s">
        <v>155</v>
      </c>
      <c r="G5" s="160" t="s">
        <v>72</v>
      </c>
      <c r="H5" s="161"/>
      <c r="I5" s="158" t="s">
        <v>156</v>
      </c>
      <c r="J5" s="160" t="s">
        <v>72</v>
      </c>
      <c r="K5" s="161"/>
      <c r="L5" s="158" t="s">
        <v>157</v>
      </c>
      <c r="M5" s="160" t="s">
        <v>72</v>
      </c>
      <c r="N5" s="167"/>
    </row>
    <row r="6" spans="1:26" ht="35.4" customHeight="1" x14ac:dyDescent="0.25">
      <c r="A6" s="166"/>
      <c r="B6" s="141"/>
      <c r="C6" s="159"/>
      <c r="D6" s="19" t="s">
        <v>73</v>
      </c>
      <c r="E6" s="19" t="s">
        <v>74</v>
      </c>
      <c r="F6" s="159"/>
      <c r="G6" s="19" t="s">
        <v>73</v>
      </c>
      <c r="H6" s="19" t="s">
        <v>74</v>
      </c>
      <c r="I6" s="159"/>
      <c r="J6" s="19" t="s">
        <v>73</v>
      </c>
      <c r="K6" s="19" t="s">
        <v>74</v>
      </c>
      <c r="L6" s="159"/>
      <c r="M6" s="19" t="s">
        <v>73</v>
      </c>
      <c r="N6" s="113" t="s">
        <v>74</v>
      </c>
    </row>
    <row r="7" spans="1:26" x14ac:dyDescent="0.25">
      <c r="A7" s="162" t="s">
        <v>75</v>
      </c>
      <c r="B7" s="163"/>
      <c r="C7" s="163"/>
      <c r="D7" s="163"/>
      <c r="E7" s="163"/>
      <c r="F7" s="163"/>
      <c r="G7" s="163"/>
      <c r="H7" s="163"/>
      <c r="I7" s="163"/>
      <c r="J7" s="163"/>
      <c r="K7" s="163"/>
      <c r="L7" s="163"/>
      <c r="M7" s="163"/>
      <c r="N7" s="164"/>
    </row>
    <row r="8" spans="1:26" x14ac:dyDescent="0.25">
      <c r="A8" s="114">
        <v>1</v>
      </c>
      <c r="B8" s="3" t="s">
        <v>76</v>
      </c>
      <c r="C8" s="20">
        <v>2776767</v>
      </c>
      <c r="D8" s="21" t="s">
        <v>77</v>
      </c>
      <c r="E8" s="21" t="s">
        <v>77</v>
      </c>
      <c r="F8" s="20">
        <v>839962</v>
      </c>
      <c r="G8" s="21" t="s">
        <v>77</v>
      </c>
      <c r="H8" s="21" t="s">
        <v>77</v>
      </c>
      <c r="I8" s="20">
        <v>1712213</v>
      </c>
      <c r="J8" s="21" t="s">
        <v>77</v>
      </c>
      <c r="K8" s="21" t="s">
        <v>77</v>
      </c>
      <c r="L8" s="20">
        <v>17078491</v>
      </c>
      <c r="M8" s="21" t="s">
        <v>77</v>
      </c>
      <c r="N8" s="115" t="s">
        <v>77</v>
      </c>
    </row>
    <row r="9" spans="1:26" x14ac:dyDescent="0.25">
      <c r="A9" s="114">
        <v>2</v>
      </c>
      <c r="B9" s="22" t="s">
        <v>78</v>
      </c>
      <c r="C9" s="20">
        <v>515653</v>
      </c>
      <c r="D9" s="21" t="s">
        <v>77</v>
      </c>
      <c r="E9" s="21" t="s">
        <v>77</v>
      </c>
      <c r="F9" s="20">
        <v>235286</v>
      </c>
      <c r="G9" s="21" t="s">
        <v>77</v>
      </c>
      <c r="H9" s="21" t="s">
        <v>77</v>
      </c>
      <c r="I9" s="20">
        <v>499332</v>
      </c>
      <c r="J9" s="21" t="s">
        <v>77</v>
      </c>
      <c r="K9" s="21" t="s">
        <v>77</v>
      </c>
      <c r="L9" s="20">
        <v>3628997</v>
      </c>
      <c r="M9" s="21" t="s">
        <v>77</v>
      </c>
      <c r="N9" s="115" t="s">
        <v>77</v>
      </c>
    </row>
    <row r="10" spans="1:26" x14ac:dyDescent="0.25">
      <c r="A10" s="114">
        <v>3</v>
      </c>
      <c r="B10" s="22" t="s">
        <v>79</v>
      </c>
      <c r="C10" s="20">
        <v>23485</v>
      </c>
      <c r="D10" s="21" t="s">
        <v>77</v>
      </c>
      <c r="E10" s="21" t="s">
        <v>77</v>
      </c>
      <c r="F10" s="20">
        <v>104467</v>
      </c>
      <c r="G10" s="21" t="s">
        <v>77</v>
      </c>
      <c r="H10" s="21" t="s">
        <v>77</v>
      </c>
      <c r="I10" s="20">
        <v>76773</v>
      </c>
      <c r="J10" s="21" t="s">
        <v>77</v>
      </c>
      <c r="K10" s="21" t="s">
        <v>77</v>
      </c>
      <c r="L10" s="20">
        <v>979370</v>
      </c>
      <c r="M10" s="21" t="s">
        <v>77</v>
      </c>
      <c r="N10" s="115" t="s">
        <v>77</v>
      </c>
    </row>
    <row r="11" spans="1:26" x14ac:dyDescent="0.25">
      <c r="A11" s="114">
        <v>4</v>
      </c>
      <c r="B11" s="4" t="s">
        <v>80</v>
      </c>
      <c r="C11" s="20">
        <v>22.01</v>
      </c>
      <c r="D11" s="21" t="s">
        <v>77</v>
      </c>
      <c r="E11" s="21" t="s">
        <v>77</v>
      </c>
      <c r="F11" s="20">
        <v>35.700000000000003</v>
      </c>
      <c r="G11" s="21" t="s">
        <v>77</v>
      </c>
      <c r="H11" s="21" t="s">
        <v>77</v>
      </c>
      <c r="I11" s="20">
        <v>27.5</v>
      </c>
      <c r="J11" s="21" t="s">
        <v>77</v>
      </c>
      <c r="K11" s="21" t="s">
        <v>77</v>
      </c>
      <c r="L11" s="20">
        <v>32.090000000000003</v>
      </c>
      <c r="M11" s="21" t="s">
        <v>77</v>
      </c>
      <c r="N11" s="115" t="s">
        <v>77</v>
      </c>
    </row>
    <row r="12" spans="1:26" x14ac:dyDescent="0.25">
      <c r="A12" s="114">
        <v>5</v>
      </c>
      <c r="B12" s="4" t="s">
        <v>81</v>
      </c>
      <c r="C12" s="20">
        <v>2244114</v>
      </c>
      <c r="D12" s="21" t="s">
        <v>77</v>
      </c>
      <c r="E12" s="21" t="s">
        <v>77</v>
      </c>
      <c r="F12" s="20">
        <v>855870</v>
      </c>
      <c r="G12" s="21" t="s">
        <v>77</v>
      </c>
      <c r="H12" s="21" t="s">
        <v>77</v>
      </c>
      <c r="I12" s="20">
        <v>1770164</v>
      </c>
      <c r="J12" s="21" t="s">
        <v>77</v>
      </c>
      <c r="K12" s="21" t="s">
        <v>77</v>
      </c>
      <c r="L12" s="20">
        <v>5134963</v>
      </c>
      <c r="M12" s="21" t="s">
        <v>77</v>
      </c>
      <c r="N12" s="115" t="s">
        <v>77</v>
      </c>
    </row>
    <row r="13" spans="1:26" x14ac:dyDescent="0.25">
      <c r="A13" s="114">
        <v>6</v>
      </c>
      <c r="B13" s="23" t="s">
        <v>82</v>
      </c>
      <c r="C13" s="20">
        <v>2.9</v>
      </c>
      <c r="D13" s="21" t="s">
        <v>77</v>
      </c>
      <c r="E13" s="21" t="s">
        <v>77</v>
      </c>
      <c r="F13" s="24">
        <v>1.024</v>
      </c>
      <c r="G13" s="21" t="s">
        <v>77</v>
      </c>
      <c r="H13" s="21" t="s">
        <v>77</v>
      </c>
      <c r="I13" s="20">
        <v>4.2</v>
      </c>
      <c r="J13" s="21" t="s">
        <v>77</v>
      </c>
      <c r="K13" s="21" t="s">
        <v>77</v>
      </c>
      <c r="L13" s="20">
        <v>16.739999999999998</v>
      </c>
      <c r="M13" s="21" t="s">
        <v>77</v>
      </c>
      <c r="N13" s="115" t="s">
        <v>77</v>
      </c>
    </row>
    <row r="14" spans="1:26" ht="26.4" x14ac:dyDescent="0.25">
      <c r="A14" s="114">
        <v>7</v>
      </c>
      <c r="B14" s="4" t="s">
        <v>83</v>
      </c>
      <c r="C14" s="20">
        <v>1513</v>
      </c>
      <c r="D14" s="21" t="s">
        <v>77</v>
      </c>
      <c r="E14" s="21" t="s">
        <v>77</v>
      </c>
      <c r="F14" s="20">
        <v>174</v>
      </c>
      <c r="G14" s="21" t="s">
        <v>77</v>
      </c>
      <c r="H14" s="21" t="s">
        <v>77</v>
      </c>
      <c r="I14" s="20">
        <v>46.2</v>
      </c>
      <c r="J14" s="21" t="s">
        <v>77</v>
      </c>
      <c r="K14" s="21" t="s">
        <v>77</v>
      </c>
      <c r="L14" s="20">
        <v>28185</v>
      </c>
      <c r="M14" s="21" t="s">
        <v>77</v>
      </c>
      <c r="N14" s="115" t="s">
        <v>77</v>
      </c>
    </row>
    <row r="15" spans="1:26" x14ac:dyDescent="0.25">
      <c r="A15" s="114">
        <v>8</v>
      </c>
      <c r="B15" s="4" t="s">
        <v>84</v>
      </c>
      <c r="C15" s="20">
        <v>1129</v>
      </c>
      <c r="D15" s="21" t="s">
        <v>77</v>
      </c>
      <c r="E15" s="21" t="s">
        <v>77</v>
      </c>
      <c r="F15" s="20">
        <v>357</v>
      </c>
      <c r="G15" s="21" t="s">
        <v>77</v>
      </c>
      <c r="H15" s="21" t="s">
        <v>77</v>
      </c>
      <c r="I15" s="20">
        <v>282</v>
      </c>
      <c r="J15" s="21" t="s">
        <v>77</v>
      </c>
      <c r="K15" s="21" t="s">
        <v>77</v>
      </c>
      <c r="L15" s="20">
        <v>4001</v>
      </c>
      <c r="M15" s="21" t="s">
        <v>77</v>
      </c>
      <c r="N15" s="115" t="s">
        <v>77</v>
      </c>
    </row>
    <row r="16" spans="1:26" x14ac:dyDescent="0.25">
      <c r="A16" s="154" t="s">
        <v>85</v>
      </c>
      <c r="B16" s="155"/>
      <c r="C16" s="155"/>
      <c r="D16" s="155"/>
      <c r="E16" s="155"/>
      <c r="F16" s="155"/>
      <c r="G16" s="155"/>
      <c r="H16" s="155"/>
      <c r="I16" s="155"/>
      <c r="J16" s="155"/>
      <c r="K16" s="155"/>
      <c r="L16" s="155"/>
      <c r="M16" s="155"/>
      <c r="N16" s="156"/>
    </row>
    <row r="17" spans="1:14" x14ac:dyDescent="0.25">
      <c r="A17" s="114">
        <v>1</v>
      </c>
      <c r="B17" s="3" t="s">
        <v>76</v>
      </c>
      <c r="C17" s="20">
        <v>3050213</v>
      </c>
      <c r="D17" s="25">
        <f>C17/C8*100-100</f>
        <v>9.8476393590099605</v>
      </c>
      <c r="E17" s="25">
        <f>+C17/C8*100-100</f>
        <v>9.8476393590099605</v>
      </c>
      <c r="F17" s="20">
        <v>1192361</v>
      </c>
      <c r="G17" s="25">
        <f t="shared" ref="G17:G24" si="0">F17/F8*100-100</f>
        <v>41.954159831039988</v>
      </c>
      <c r="H17" s="25">
        <f t="shared" ref="H17:H24" si="1">+F17/F8*100-100</f>
        <v>41.954159831039988</v>
      </c>
      <c r="I17" s="20">
        <v>1796084</v>
      </c>
      <c r="J17" s="25">
        <f t="shared" ref="J17:J24" si="2">I17/I8*100-100</f>
        <v>4.8983975708629686</v>
      </c>
      <c r="K17" s="25">
        <f t="shared" ref="K17:K24" si="3">+I17/I8*100-100</f>
        <v>4.8983975708629686</v>
      </c>
      <c r="L17" s="20">
        <v>17928844</v>
      </c>
      <c r="M17" s="25">
        <f t="shared" ref="M17:M24" si="4">L17/L8*100-100</f>
        <v>4.9790874381114918</v>
      </c>
      <c r="N17" s="116">
        <f t="shared" ref="N17:N24" si="5">+L17/L8*100-100</f>
        <v>4.9790874381114918</v>
      </c>
    </row>
    <row r="18" spans="1:14" x14ac:dyDescent="0.25">
      <c r="A18" s="114">
        <v>2</v>
      </c>
      <c r="B18" s="22" t="s">
        <v>78</v>
      </c>
      <c r="C18" s="20">
        <v>678280</v>
      </c>
      <c r="D18" s="25">
        <f>C18/C9*100-100</f>
        <v>31.538069205454065</v>
      </c>
      <c r="E18" s="25">
        <f>+C18/C9*100-100</f>
        <v>31.538069205454065</v>
      </c>
      <c r="F18" s="20">
        <v>326319</v>
      </c>
      <c r="G18" s="25">
        <f t="shared" si="0"/>
        <v>38.690359817413707</v>
      </c>
      <c r="H18" s="25">
        <f t="shared" si="1"/>
        <v>38.690359817413707</v>
      </c>
      <c r="I18" s="20">
        <v>582777</v>
      </c>
      <c r="J18" s="25">
        <f t="shared" si="2"/>
        <v>16.711326331979521</v>
      </c>
      <c r="K18" s="25">
        <f t="shared" si="3"/>
        <v>16.711326331979521</v>
      </c>
      <c r="L18" s="20">
        <v>4193739</v>
      </c>
      <c r="M18" s="25">
        <f t="shared" si="4"/>
        <v>15.561930748358293</v>
      </c>
      <c r="N18" s="116">
        <f t="shared" si="5"/>
        <v>15.561930748358293</v>
      </c>
    </row>
    <row r="19" spans="1:14" x14ac:dyDescent="0.25">
      <c r="A19" s="114">
        <v>3</v>
      </c>
      <c r="B19" s="22" t="s">
        <v>79</v>
      </c>
      <c r="C19" s="20">
        <v>117342</v>
      </c>
      <c r="D19" s="26" t="s">
        <v>86</v>
      </c>
      <c r="E19" s="26" t="s">
        <v>86</v>
      </c>
      <c r="F19" s="20">
        <v>71527</v>
      </c>
      <c r="G19" s="25">
        <f t="shared" si="0"/>
        <v>-31.531488412608766</v>
      </c>
      <c r="H19" s="25">
        <f t="shared" si="1"/>
        <v>-31.531488412608766</v>
      </c>
      <c r="I19" s="20">
        <v>30455</v>
      </c>
      <c r="J19" s="25">
        <f t="shared" si="2"/>
        <v>-60.331105987782166</v>
      </c>
      <c r="K19" s="25">
        <f t="shared" si="3"/>
        <v>-60.331105987782166</v>
      </c>
      <c r="L19" s="20">
        <v>1557330</v>
      </c>
      <c r="M19" s="25">
        <f t="shared" si="4"/>
        <v>59.013447420280386</v>
      </c>
      <c r="N19" s="116">
        <f t="shared" si="5"/>
        <v>59.013447420280386</v>
      </c>
    </row>
    <row r="20" spans="1:14" x14ac:dyDescent="0.25">
      <c r="A20" s="114">
        <v>4</v>
      </c>
      <c r="B20" s="4" t="s">
        <v>80</v>
      </c>
      <c r="C20" s="20">
        <v>25.92</v>
      </c>
      <c r="D20" s="25">
        <f>C20/C11*100-100</f>
        <v>17.764652430713298</v>
      </c>
      <c r="E20" s="25">
        <f>+C20/C11*100-100</f>
        <v>17.764652430713298</v>
      </c>
      <c r="F20" s="20">
        <v>37.9</v>
      </c>
      <c r="G20" s="25">
        <f t="shared" si="0"/>
        <v>6.1624649859943759</v>
      </c>
      <c r="H20" s="25">
        <f t="shared" si="1"/>
        <v>6.1624649859943759</v>
      </c>
      <c r="I20" s="20">
        <v>33.200000000000003</v>
      </c>
      <c r="J20" s="25">
        <f t="shared" si="2"/>
        <v>20.727272727272734</v>
      </c>
      <c r="K20" s="25">
        <f t="shared" si="3"/>
        <v>20.727272727272734</v>
      </c>
      <c r="L20" s="20">
        <v>33.31</v>
      </c>
      <c r="M20" s="25">
        <f t="shared" si="4"/>
        <v>3.8018074166406848</v>
      </c>
      <c r="N20" s="116">
        <f t="shared" si="5"/>
        <v>3.8018074166406848</v>
      </c>
    </row>
    <row r="21" spans="1:14" x14ac:dyDescent="0.25">
      <c r="A21" s="114">
        <v>5</v>
      </c>
      <c r="B21" s="4" t="s">
        <v>81</v>
      </c>
      <c r="C21" s="20">
        <v>3198053</v>
      </c>
      <c r="D21" s="25">
        <f>C21/C12*100-100</f>
        <v>42.508491101610701</v>
      </c>
      <c r="E21" s="25">
        <f>+C21/C12*100-100</f>
        <v>42.508491101610701</v>
      </c>
      <c r="F21" s="20">
        <v>1029899</v>
      </c>
      <c r="G21" s="25">
        <f t="shared" si="0"/>
        <v>20.333578697699409</v>
      </c>
      <c r="H21" s="25">
        <f t="shared" si="1"/>
        <v>20.333578697699409</v>
      </c>
      <c r="I21" s="20">
        <v>1834934</v>
      </c>
      <c r="J21" s="25">
        <f t="shared" si="2"/>
        <v>3.6589830094838618</v>
      </c>
      <c r="K21" s="25">
        <f t="shared" si="3"/>
        <v>3.6589830094838618</v>
      </c>
      <c r="L21" s="20">
        <v>5016462</v>
      </c>
      <c r="M21" s="25">
        <f t="shared" si="4"/>
        <v>-2.3077284101170648</v>
      </c>
      <c r="N21" s="116">
        <f t="shared" si="5"/>
        <v>-2.3077284101170648</v>
      </c>
    </row>
    <row r="22" spans="1:14" x14ac:dyDescent="0.25">
      <c r="A22" s="114">
        <v>6</v>
      </c>
      <c r="B22" s="23" t="s">
        <v>82</v>
      </c>
      <c r="C22" s="20">
        <v>3.06</v>
      </c>
      <c r="D22" s="25">
        <f>C22/C13*100-100</f>
        <v>5.5172413793103487</v>
      </c>
      <c r="E22" s="25">
        <f>+C22/C13*100-100</f>
        <v>5.5172413793103487</v>
      </c>
      <c r="F22" s="24">
        <v>0.93400000000000005</v>
      </c>
      <c r="G22" s="25">
        <f t="shared" si="0"/>
        <v>-8.7890625</v>
      </c>
      <c r="H22" s="25">
        <f t="shared" si="1"/>
        <v>-8.7890625</v>
      </c>
      <c r="I22" s="20">
        <v>3.8</v>
      </c>
      <c r="J22" s="25">
        <f t="shared" si="2"/>
        <v>-9.5238095238095326</v>
      </c>
      <c r="K22" s="25">
        <f t="shared" si="3"/>
        <v>-9.5238095238095326</v>
      </c>
      <c r="L22" s="20">
        <v>16.809999999999999</v>
      </c>
      <c r="M22" s="25">
        <f t="shared" si="4"/>
        <v>0.41816009557945222</v>
      </c>
      <c r="N22" s="116">
        <f t="shared" si="5"/>
        <v>0.41816009557945222</v>
      </c>
    </row>
    <row r="23" spans="1:14" ht="26.4" x14ac:dyDescent="0.25">
      <c r="A23" s="114">
        <v>7</v>
      </c>
      <c r="B23" s="4" t="s">
        <v>83</v>
      </c>
      <c r="C23" s="20">
        <v>95</v>
      </c>
      <c r="D23" s="25">
        <f>C23/C14*100-100</f>
        <v>-93.721083939193662</v>
      </c>
      <c r="E23" s="25">
        <f>+C23/C14*100-100</f>
        <v>-93.721083939193662</v>
      </c>
      <c r="F23" s="20">
        <v>160</v>
      </c>
      <c r="G23" s="25">
        <f t="shared" si="0"/>
        <v>-8.0459770114942586</v>
      </c>
      <c r="H23" s="25">
        <f t="shared" si="1"/>
        <v>-8.0459770114942586</v>
      </c>
      <c r="I23" s="20">
        <v>110.5</v>
      </c>
      <c r="J23" s="25">
        <f t="shared" si="2"/>
        <v>139.17748917748915</v>
      </c>
      <c r="K23" s="25">
        <f t="shared" si="3"/>
        <v>139.17748917748915</v>
      </c>
      <c r="L23" s="20">
        <v>33215</v>
      </c>
      <c r="M23" s="25">
        <f t="shared" si="4"/>
        <v>17.846372183785704</v>
      </c>
      <c r="N23" s="116">
        <f t="shared" si="5"/>
        <v>17.846372183785704</v>
      </c>
    </row>
    <row r="24" spans="1:14" x14ac:dyDescent="0.25">
      <c r="A24" s="114">
        <v>8</v>
      </c>
      <c r="B24" s="4" t="s">
        <v>84</v>
      </c>
      <c r="C24" s="20">
        <v>1066</v>
      </c>
      <c r="D24" s="25">
        <f>C24/C15*100-100</f>
        <v>-5.5801594331266671</v>
      </c>
      <c r="E24" s="25">
        <f>+C24/C15*100-100</f>
        <v>-5.5801594331266671</v>
      </c>
      <c r="F24" s="20">
        <v>358</v>
      </c>
      <c r="G24" s="25">
        <f t="shared" si="0"/>
        <v>0.28011204481792618</v>
      </c>
      <c r="H24" s="25">
        <f t="shared" si="1"/>
        <v>0.28011204481792618</v>
      </c>
      <c r="I24" s="20">
        <v>295</v>
      </c>
      <c r="J24" s="25">
        <f t="shared" si="2"/>
        <v>4.6099290780141899</v>
      </c>
      <c r="K24" s="25">
        <f t="shared" si="3"/>
        <v>4.6099290780141899</v>
      </c>
      <c r="L24" s="20">
        <v>4025</v>
      </c>
      <c r="M24" s="25">
        <f t="shared" si="4"/>
        <v>0.59985003749063992</v>
      </c>
      <c r="N24" s="116">
        <f t="shared" si="5"/>
        <v>0.59985003749063992</v>
      </c>
    </row>
    <row r="25" spans="1:14" x14ac:dyDescent="0.25">
      <c r="A25" s="117"/>
      <c r="B25" s="157" t="s">
        <v>87</v>
      </c>
      <c r="C25" s="155"/>
      <c r="D25" s="155"/>
      <c r="E25" s="155"/>
      <c r="F25" s="155"/>
      <c r="G25" s="155"/>
      <c r="H25" s="155"/>
      <c r="I25" s="155"/>
      <c r="J25" s="155"/>
      <c r="K25" s="155"/>
      <c r="L25" s="155"/>
      <c r="M25" s="155"/>
      <c r="N25" s="156"/>
    </row>
    <row r="26" spans="1:14" x14ac:dyDescent="0.25">
      <c r="A26" s="114">
        <v>1</v>
      </c>
      <c r="B26" s="3" t="s">
        <v>76</v>
      </c>
      <c r="C26" s="20">
        <v>4512269</v>
      </c>
      <c r="D26" s="27">
        <f>C26/C17*100-100</f>
        <v>47.93291484889744</v>
      </c>
      <c r="E26" s="28">
        <f>+C26/C8*100-100</f>
        <v>62.500814796488157</v>
      </c>
      <c r="F26" s="20">
        <v>1338200</v>
      </c>
      <c r="G26" s="27">
        <f t="shared" ref="G26:G33" si="6">F26/F17*100-100</f>
        <v>12.231111215479189</v>
      </c>
      <c r="H26" s="28">
        <f t="shared" ref="H26:H33" si="7">+F26/F8*100-100</f>
        <v>59.316730994973597</v>
      </c>
      <c r="I26" s="20">
        <v>2500437</v>
      </c>
      <c r="J26" s="27">
        <f>I26/I17*100-100</f>
        <v>39.216038893503878</v>
      </c>
      <c r="K26" s="28">
        <f>+I26/I8*100-100</f>
        <v>46.035393960914917</v>
      </c>
      <c r="L26" s="111">
        <v>18001081</v>
      </c>
      <c r="M26" s="25">
        <f>L26/L17*100-100</f>
        <v>0.40290941234135857</v>
      </c>
      <c r="N26" s="118">
        <f>+L26/L8*100-100</f>
        <v>5.4020580623897132</v>
      </c>
    </row>
    <row r="27" spans="1:14" x14ac:dyDescent="0.25">
      <c r="A27" s="114">
        <v>2</v>
      </c>
      <c r="B27" s="22" t="s">
        <v>78</v>
      </c>
      <c r="C27" s="20">
        <v>1332710</v>
      </c>
      <c r="D27" s="27">
        <f>C27/C18*100-100</f>
        <v>96.483753022350669</v>
      </c>
      <c r="E27" s="28" t="s">
        <v>88</v>
      </c>
      <c r="F27" s="20">
        <v>296200</v>
      </c>
      <c r="G27" s="27">
        <f t="shared" si="6"/>
        <v>-9.2299253184767025</v>
      </c>
      <c r="H27" s="28">
        <f t="shared" si="7"/>
        <v>25.8893431823398</v>
      </c>
      <c r="I27" s="20">
        <v>940494</v>
      </c>
      <c r="J27" s="27">
        <f>I27/I18*100-100</f>
        <v>61.381454655897556</v>
      </c>
      <c r="K27" s="28">
        <f>+I27/I9*100-100</f>
        <v>88.35043618274014</v>
      </c>
      <c r="L27" s="111">
        <v>4675192</v>
      </c>
      <c r="M27" s="25">
        <f t="shared" ref="M27:M33" si="8">L27/L18*100-100</f>
        <v>11.480280484789347</v>
      </c>
      <c r="N27" s="118">
        <f t="shared" ref="N27:N33" si="9">+L27/L9*100-100</f>
        <v>28.828764531907865</v>
      </c>
    </row>
    <row r="28" spans="1:14" x14ac:dyDescent="0.25">
      <c r="A28" s="114">
        <v>3</v>
      </c>
      <c r="B28" s="22" t="s">
        <v>79</v>
      </c>
      <c r="C28" s="20">
        <v>288327</v>
      </c>
      <c r="D28" s="29" t="s">
        <v>89</v>
      </c>
      <c r="E28" s="28" t="s">
        <v>90</v>
      </c>
      <c r="F28" s="20">
        <v>101814</v>
      </c>
      <c r="G28" s="27">
        <f t="shared" si="6"/>
        <v>42.343450724901089</v>
      </c>
      <c r="H28" s="28">
        <f t="shared" si="7"/>
        <v>-2.5395579465285749</v>
      </c>
      <c r="I28" s="20">
        <v>207382</v>
      </c>
      <c r="J28" s="30" t="s">
        <v>91</v>
      </c>
      <c r="K28" s="30" t="s">
        <v>92</v>
      </c>
      <c r="L28" s="111">
        <v>1017442</v>
      </c>
      <c r="M28" s="25">
        <f t="shared" si="8"/>
        <v>-34.667539956207094</v>
      </c>
      <c r="N28" s="118">
        <f t="shared" si="9"/>
        <v>3.8873970001123155</v>
      </c>
    </row>
    <row r="29" spans="1:14" x14ac:dyDescent="0.25">
      <c r="A29" s="114">
        <v>4</v>
      </c>
      <c r="B29" s="4" t="s">
        <v>80</v>
      </c>
      <c r="C29" s="20">
        <v>29.31</v>
      </c>
      <c r="D29" s="27">
        <f>C29/C20*100-100</f>
        <v>13.078703703703695</v>
      </c>
      <c r="E29" s="28">
        <f>+C29/C11*100-100</f>
        <v>33.166742389822787</v>
      </c>
      <c r="F29" s="20">
        <v>43.6</v>
      </c>
      <c r="G29" s="27">
        <f t="shared" si="6"/>
        <v>15.03957783641161</v>
      </c>
      <c r="H29" s="28">
        <f t="shared" si="7"/>
        <v>22.128851540616239</v>
      </c>
      <c r="I29" s="20">
        <v>38.4</v>
      </c>
      <c r="J29" s="27">
        <f>I29/I20*100-100</f>
        <v>15.662650602409627</v>
      </c>
      <c r="K29" s="28">
        <f>+I29/I11*100-100</f>
        <v>39.636363636363626</v>
      </c>
      <c r="L29" s="111">
        <v>34.94</v>
      </c>
      <c r="M29" s="25">
        <f t="shared" si="8"/>
        <v>4.8934253977784437</v>
      </c>
      <c r="N29" s="118">
        <f t="shared" si="9"/>
        <v>8.881271424119646</v>
      </c>
    </row>
    <row r="30" spans="1:14" x14ac:dyDescent="0.25">
      <c r="A30" s="114">
        <v>5</v>
      </c>
      <c r="B30" s="4" t="s">
        <v>81</v>
      </c>
      <c r="C30" s="20">
        <v>4158373</v>
      </c>
      <c r="D30" s="27">
        <f>C30/C21*100-100</f>
        <v>30.028270325726311</v>
      </c>
      <c r="E30" s="28">
        <f>+C30/C12*100-100</f>
        <v>85.301326046715985</v>
      </c>
      <c r="F30" s="20">
        <v>1046683</v>
      </c>
      <c r="G30" s="27">
        <f t="shared" si="6"/>
        <v>1.6296743661271478</v>
      </c>
      <c r="H30" s="28">
        <f t="shared" si="7"/>
        <v>22.294624183579288</v>
      </c>
      <c r="I30" s="20">
        <v>1869341</v>
      </c>
      <c r="J30" s="27">
        <f>I30/I21*100-100</f>
        <v>1.8751083145224925</v>
      </c>
      <c r="K30" s="28">
        <f>+I30/I12*100-100</f>
        <v>5.6027012186441425</v>
      </c>
      <c r="L30" s="111">
        <v>4714304</v>
      </c>
      <c r="M30" s="25">
        <f t="shared" si="8"/>
        <v>-6.0233287922842891</v>
      </c>
      <c r="N30" s="118">
        <f t="shared" si="9"/>
        <v>-8.192055132627047</v>
      </c>
    </row>
    <row r="31" spans="1:14" x14ac:dyDescent="0.25">
      <c r="A31" s="114">
        <v>6</v>
      </c>
      <c r="B31" s="23" t="s">
        <v>82</v>
      </c>
      <c r="C31" s="20">
        <v>3</v>
      </c>
      <c r="D31" s="27">
        <f>C31/C22*100-100</f>
        <v>-1.9607843137254974</v>
      </c>
      <c r="E31" s="28">
        <f>+C31/C13*100-100</f>
        <v>3.448275862068968</v>
      </c>
      <c r="F31" s="24">
        <v>1.274</v>
      </c>
      <c r="G31" s="27">
        <f t="shared" si="6"/>
        <v>36.402569593147746</v>
      </c>
      <c r="H31" s="28">
        <f t="shared" si="7"/>
        <v>24.4140625</v>
      </c>
      <c r="I31" s="20">
        <v>4.2</v>
      </c>
      <c r="J31" s="27">
        <f>I31/I22*100-100</f>
        <v>10.526315789473699</v>
      </c>
      <c r="K31" s="28">
        <f>+I31/I13*100-100</f>
        <v>0</v>
      </c>
      <c r="L31" s="111">
        <v>17.25</v>
      </c>
      <c r="M31" s="25">
        <f t="shared" si="8"/>
        <v>2.6174895895300523</v>
      </c>
      <c r="N31" s="118">
        <f t="shared" si="9"/>
        <v>3.046594982078858</v>
      </c>
    </row>
    <row r="32" spans="1:14" ht="26.4" x14ac:dyDescent="0.25">
      <c r="A32" s="114">
        <v>7</v>
      </c>
      <c r="B32" s="4" t="s">
        <v>83</v>
      </c>
      <c r="C32" s="20">
        <v>959</v>
      </c>
      <c r="D32" s="31" t="s">
        <v>93</v>
      </c>
      <c r="E32" s="28">
        <f>+C32/C14*100-100</f>
        <v>-36.615994712491741</v>
      </c>
      <c r="F32" s="20">
        <v>157</v>
      </c>
      <c r="G32" s="27">
        <f t="shared" si="6"/>
        <v>-1.875</v>
      </c>
      <c r="H32" s="28">
        <f t="shared" si="7"/>
        <v>-9.7701149425287355</v>
      </c>
      <c r="I32" s="20">
        <v>235.9</v>
      </c>
      <c r="J32" s="32" t="s">
        <v>94</v>
      </c>
      <c r="K32" s="30" t="s">
        <v>95</v>
      </c>
      <c r="L32" s="111">
        <v>31787</v>
      </c>
      <c r="M32" s="25">
        <f t="shared" si="8"/>
        <v>-4.299262381454156</v>
      </c>
      <c r="N32" s="118">
        <f t="shared" si="9"/>
        <v>12.779847436579743</v>
      </c>
    </row>
    <row r="33" spans="1:14" x14ac:dyDescent="0.25">
      <c r="A33" s="114">
        <v>8</v>
      </c>
      <c r="B33" s="4" t="s">
        <v>84</v>
      </c>
      <c r="C33" s="20">
        <v>1089</v>
      </c>
      <c r="D33" s="27">
        <f>C33/C24*100-100</f>
        <v>2.157598499061919</v>
      </c>
      <c r="E33" s="28">
        <f>+C33/C15*100-100</f>
        <v>-3.5429583702391483</v>
      </c>
      <c r="F33" s="20">
        <v>397</v>
      </c>
      <c r="G33" s="27">
        <f t="shared" si="6"/>
        <v>10.89385474860336</v>
      </c>
      <c r="H33" s="28">
        <f t="shared" si="7"/>
        <v>11.20448179271709</v>
      </c>
      <c r="I33" s="20">
        <v>379</v>
      </c>
      <c r="J33" s="27">
        <f>I33/I24*100-100</f>
        <v>28.474576271186436</v>
      </c>
      <c r="K33" s="28">
        <f>+I33/I15*100-100</f>
        <v>34.39716312056737</v>
      </c>
      <c r="L33" s="111">
        <v>3963</v>
      </c>
      <c r="M33" s="25">
        <f t="shared" si="8"/>
        <v>-1.5403726708074572</v>
      </c>
      <c r="N33" s="118">
        <f t="shared" si="9"/>
        <v>-0.94976255936015264</v>
      </c>
    </row>
    <row r="34" spans="1:14" x14ac:dyDescent="0.25">
      <c r="A34" s="117"/>
      <c r="B34" s="157" t="s">
        <v>96</v>
      </c>
      <c r="C34" s="155"/>
      <c r="D34" s="155"/>
      <c r="E34" s="155"/>
      <c r="F34" s="155"/>
      <c r="G34" s="155"/>
      <c r="H34" s="155"/>
      <c r="I34" s="155"/>
      <c r="J34" s="155"/>
      <c r="K34" s="155"/>
      <c r="L34" s="155"/>
      <c r="M34" s="155"/>
      <c r="N34" s="156"/>
    </row>
    <row r="35" spans="1:14" x14ac:dyDescent="0.25">
      <c r="A35" s="114">
        <v>1</v>
      </c>
      <c r="B35" s="3" t="s">
        <v>76</v>
      </c>
      <c r="C35" s="20">
        <v>5666200</v>
      </c>
      <c r="D35" s="27">
        <f>C35/C26*100-100</f>
        <v>25.573187236842472</v>
      </c>
      <c r="E35" s="33" t="s">
        <v>97</v>
      </c>
      <c r="F35" s="20">
        <v>2080201</v>
      </c>
      <c r="G35" s="27">
        <f t="shared" ref="G35:G42" si="10">F35/F26*100-100</f>
        <v>55.447690928112394</v>
      </c>
      <c r="H35" s="30" t="s">
        <v>89</v>
      </c>
      <c r="I35" s="20">
        <v>4143990</v>
      </c>
      <c r="J35" s="27">
        <f t="shared" ref="J35:J42" si="11">I35/I26*100-100</f>
        <v>65.730630285826038</v>
      </c>
      <c r="K35" s="33" t="s">
        <v>89</v>
      </c>
      <c r="L35" s="111">
        <v>23980377</v>
      </c>
      <c r="M35" s="25">
        <f>L35/L26*100-100</f>
        <v>33.216316286783012</v>
      </c>
      <c r="N35" s="118">
        <f>+L35/L8*100-100</f>
        <v>40.412739041171733</v>
      </c>
    </row>
    <row r="36" spans="1:14" x14ac:dyDescent="0.25">
      <c r="A36" s="114">
        <v>2</v>
      </c>
      <c r="B36" s="22" t="s">
        <v>78</v>
      </c>
      <c r="C36" s="20">
        <v>1557549</v>
      </c>
      <c r="D36" s="27">
        <f>C36/C27*100-100</f>
        <v>16.870812104658924</v>
      </c>
      <c r="E36" s="33" t="s">
        <v>98</v>
      </c>
      <c r="F36" s="20">
        <v>380231</v>
      </c>
      <c r="G36" s="27">
        <f t="shared" si="10"/>
        <v>28.369682646860241</v>
      </c>
      <c r="H36" s="28">
        <f t="shared" ref="H36:H42" si="12">+F36/F9*100-100</f>
        <v>61.603750329386372</v>
      </c>
      <c r="I36" s="20">
        <v>1842911</v>
      </c>
      <c r="J36" s="27">
        <f t="shared" si="11"/>
        <v>95.951382996595413</v>
      </c>
      <c r="K36" s="30" t="s">
        <v>99</v>
      </c>
      <c r="L36" s="111">
        <v>9579098</v>
      </c>
      <c r="M36" s="112" t="s">
        <v>94</v>
      </c>
      <c r="N36" s="119" t="s">
        <v>88</v>
      </c>
    </row>
    <row r="37" spans="1:14" x14ac:dyDescent="0.25">
      <c r="A37" s="114">
        <v>3</v>
      </c>
      <c r="B37" s="22" t="s">
        <v>79</v>
      </c>
      <c r="C37" s="20">
        <v>620843</v>
      </c>
      <c r="D37" s="30" t="s">
        <v>94</v>
      </c>
      <c r="E37" s="28" t="s">
        <v>100</v>
      </c>
      <c r="F37" s="20">
        <v>156359</v>
      </c>
      <c r="G37" s="27">
        <f t="shared" si="10"/>
        <v>53.573182469994293</v>
      </c>
      <c r="H37" s="28">
        <f t="shared" si="12"/>
        <v>49.673102510840749</v>
      </c>
      <c r="I37" s="20">
        <v>28777</v>
      </c>
      <c r="J37" s="27">
        <f t="shared" si="11"/>
        <v>-86.123675150205898</v>
      </c>
      <c r="K37" s="28">
        <f>+I37/I10*100-100</f>
        <v>-62.516770218696678</v>
      </c>
      <c r="L37" s="111">
        <v>6687952</v>
      </c>
      <c r="M37" s="112" t="s">
        <v>101</v>
      </c>
      <c r="N37" s="119" t="s">
        <v>91</v>
      </c>
    </row>
    <row r="38" spans="1:14" x14ac:dyDescent="0.25">
      <c r="A38" s="114">
        <v>4</v>
      </c>
      <c r="B38" s="4" t="s">
        <v>80</v>
      </c>
      <c r="C38" s="20">
        <v>33.950000000000003</v>
      </c>
      <c r="D38" s="27">
        <f>C38/C29*100-100</f>
        <v>15.830774479699784</v>
      </c>
      <c r="E38" s="28">
        <f>+C38/C11*100-100</f>
        <v>54.2480690595184</v>
      </c>
      <c r="F38" s="20">
        <v>54.6</v>
      </c>
      <c r="G38" s="27">
        <f t="shared" si="10"/>
        <v>25.229357798165125</v>
      </c>
      <c r="H38" s="28">
        <f t="shared" si="12"/>
        <v>52.941176470588232</v>
      </c>
      <c r="I38" s="20">
        <v>41.4</v>
      </c>
      <c r="J38" s="27">
        <f t="shared" si="11"/>
        <v>7.8125</v>
      </c>
      <c r="K38" s="28">
        <f>+I38/I11*100-100</f>
        <v>50.545454545454533</v>
      </c>
      <c r="L38" s="111">
        <v>38.72</v>
      </c>
      <c r="M38" s="25">
        <f>L38/L29*100-100</f>
        <v>10.818546078992554</v>
      </c>
      <c r="N38" s="118">
        <f>+L38/L11*100-100</f>
        <v>20.660641944530994</v>
      </c>
    </row>
    <row r="39" spans="1:14" x14ac:dyDescent="0.25">
      <c r="A39" s="114">
        <v>5</v>
      </c>
      <c r="B39" s="4" t="s">
        <v>81</v>
      </c>
      <c r="C39" s="20">
        <v>4769331</v>
      </c>
      <c r="D39" s="27">
        <f>C39/C30*100-100</f>
        <v>14.692236603113756</v>
      </c>
      <c r="E39" s="33" t="s">
        <v>94</v>
      </c>
      <c r="F39" s="20">
        <v>1332710</v>
      </c>
      <c r="G39" s="27">
        <f t="shared" si="10"/>
        <v>27.32699394181428</v>
      </c>
      <c r="H39" s="28">
        <f t="shared" si="12"/>
        <v>55.714068725390518</v>
      </c>
      <c r="I39" s="20">
        <v>2037616</v>
      </c>
      <c r="J39" s="27">
        <f t="shared" si="11"/>
        <v>9.0018354061671886</v>
      </c>
      <c r="K39" s="28">
        <f>+I39/I12*100-100</f>
        <v>15.108882566813023</v>
      </c>
      <c r="L39" s="111">
        <v>4749048</v>
      </c>
      <c r="M39" s="25">
        <f>L39/L30*100-100</f>
        <v>0.73699108076186803</v>
      </c>
      <c r="N39" s="118">
        <f>+L39/L12*100-100</f>
        <v>-7.5154387675237473</v>
      </c>
    </row>
    <row r="40" spans="1:14" x14ac:dyDescent="0.25">
      <c r="A40" s="114">
        <v>6</v>
      </c>
      <c r="B40" s="23" t="s">
        <v>82</v>
      </c>
      <c r="C40" s="20">
        <v>3.63</v>
      </c>
      <c r="D40" s="27">
        <f>C40/C31*100-100</f>
        <v>21</v>
      </c>
      <c r="E40" s="28">
        <f>+C40/C13*100-100</f>
        <v>25.172413793103445</v>
      </c>
      <c r="F40" s="24">
        <v>1.2669999999999999</v>
      </c>
      <c r="G40" s="27">
        <f t="shared" si="10"/>
        <v>-0.5494505494505546</v>
      </c>
      <c r="H40" s="28">
        <f t="shared" si="12"/>
        <v>23.730468749999972</v>
      </c>
      <c r="I40" s="20">
        <v>4.8</v>
      </c>
      <c r="J40" s="27">
        <f t="shared" si="11"/>
        <v>14.285714285714278</v>
      </c>
      <c r="K40" s="28">
        <f>+I40/I13*100-100</f>
        <v>14.285714285714278</v>
      </c>
      <c r="L40" s="111">
        <v>17.8</v>
      </c>
      <c r="M40" s="25">
        <f>L40/L31*100-100</f>
        <v>3.1884057971014386</v>
      </c>
      <c r="N40" s="118">
        <f>+L40/L13*100-100</f>
        <v>6.3321385902031153</v>
      </c>
    </row>
    <row r="41" spans="1:14" ht="26.4" x14ac:dyDescent="0.25">
      <c r="A41" s="114">
        <v>7</v>
      </c>
      <c r="B41" s="4" t="s">
        <v>83</v>
      </c>
      <c r="C41" s="20">
        <v>1152</v>
      </c>
      <c r="D41" s="27">
        <f>C41/C32*100-100</f>
        <v>20.125130344108456</v>
      </c>
      <c r="E41" s="28">
        <f>+C41/C14*100-100</f>
        <v>-23.859881031064106</v>
      </c>
      <c r="F41" s="20">
        <v>128</v>
      </c>
      <c r="G41" s="27">
        <f t="shared" si="10"/>
        <v>-18.471337579617824</v>
      </c>
      <c r="H41" s="28">
        <f t="shared" si="12"/>
        <v>-26.436781609195407</v>
      </c>
      <c r="I41" s="20">
        <v>164.6</v>
      </c>
      <c r="J41" s="27">
        <f t="shared" si="11"/>
        <v>-30.224671470962278</v>
      </c>
      <c r="K41" s="30" t="s">
        <v>102</v>
      </c>
      <c r="L41" s="111">
        <v>32439</v>
      </c>
      <c r="M41" s="25">
        <f>L41/L32*100-100</f>
        <v>2.0511529870701963</v>
      </c>
      <c r="N41" s="118">
        <f>+L41/L14*100-100</f>
        <v>15.093134646088345</v>
      </c>
    </row>
    <row r="42" spans="1:14" x14ac:dyDescent="0.25">
      <c r="A42" s="114">
        <v>8</v>
      </c>
      <c r="B42" s="4" t="s">
        <v>84</v>
      </c>
      <c r="C42" s="20">
        <v>1111</v>
      </c>
      <c r="D42" s="27">
        <f>C42/C33*100-100</f>
        <v>2.0202020202020066</v>
      </c>
      <c r="E42" s="28">
        <f>+C42/C15*100-100</f>
        <v>-1.594331266607611</v>
      </c>
      <c r="F42" s="20">
        <v>449</v>
      </c>
      <c r="G42" s="27">
        <f t="shared" si="10"/>
        <v>13.098236775818648</v>
      </c>
      <c r="H42" s="28">
        <f t="shared" si="12"/>
        <v>25.770308123249293</v>
      </c>
      <c r="I42" s="20">
        <v>412</v>
      </c>
      <c r="J42" s="27">
        <f t="shared" si="11"/>
        <v>8.7071240105540966</v>
      </c>
      <c r="K42" s="28">
        <f>+I42/I15*100-100</f>
        <v>46.099290780141843</v>
      </c>
      <c r="L42" s="111">
        <v>3901</v>
      </c>
      <c r="M42" s="25">
        <f>L42/L33*100-100</f>
        <v>-1.5644713600807449</v>
      </c>
      <c r="N42" s="118">
        <f>+L42/L15*100-100</f>
        <v>-2.4993751562109452</v>
      </c>
    </row>
    <row r="43" spans="1:14" ht="7.2" customHeight="1" x14ac:dyDescent="0.25">
      <c r="A43" s="120"/>
      <c r="B43" s="34"/>
      <c r="C43" s="35"/>
      <c r="D43" s="36"/>
      <c r="E43" s="37"/>
      <c r="F43" s="35"/>
      <c r="G43" s="36"/>
      <c r="H43" s="37"/>
      <c r="I43" s="35"/>
      <c r="J43" s="36"/>
      <c r="K43" s="37"/>
      <c r="L43" s="35"/>
      <c r="M43" s="36"/>
      <c r="N43" s="121"/>
    </row>
    <row r="44" spans="1:14" ht="27" thickBot="1" x14ac:dyDescent="0.3">
      <c r="A44" s="122"/>
      <c r="B44" s="123" t="s">
        <v>103</v>
      </c>
      <c r="C44" s="124">
        <v>6</v>
      </c>
      <c r="D44" s="124"/>
      <c r="E44" s="125"/>
      <c r="F44" s="124">
        <v>6</v>
      </c>
      <c r="G44" s="124"/>
      <c r="H44" s="125"/>
      <c r="I44" s="124">
        <v>4</v>
      </c>
      <c r="J44" s="124"/>
      <c r="K44" s="125"/>
      <c r="L44" s="124">
        <v>3</v>
      </c>
      <c r="M44" s="124"/>
      <c r="N44" s="126"/>
    </row>
    <row r="45" spans="1:14" ht="13.8" thickTop="1" x14ac:dyDescent="0.25"/>
  </sheetData>
  <mergeCells count="14">
    <mergeCell ref="A3:N3"/>
    <mergeCell ref="A16:N16"/>
    <mergeCell ref="B25:N25"/>
    <mergeCell ref="B34:N34"/>
    <mergeCell ref="F5:F6"/>
    <mergeCell ref="G5:H5"/>
    <mergeCell ref="I5:I6"/>
    <mergeCell ref="J5:K5"/>
    <mergeCell ref="A7:N7"/>
    <mergeCell ref="A5:B6"/>
    <mergeCell ref="C5:C6"/>
    <mergeCell ref="D5:E5"/>
    <mergeCell ref="L5:L6"/>
    <mergeCell ref="M5:N5"/>
  </mergeCells>
  <pageMargins left="0.39370078740157483" right="0.39370078740157483" top="0.74803149606299213" bottom="0.59055118110236227" header="0.31496062992125984" footer="0.31496062992125984"/>
  <pageSetup paperSize="9" scale="63" orientation="landscape" r:id="rId1"/>
  <headerFooter>
    <oddFooter>&amp;CСтраница &amp;P из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3</vt:i4>
      </vt:variant>
    </vt:vector>
  </HeadingPairs>
  <TitlesOfParts>
    <vt:vector size="9" baseType="lpstr">
      <vt:lpstr>Приложение № 1</vt:lpstr>
      <vt:lpstr>Приложение № 2</vt:lpstr>
      <vt:lpstr>Прилоежние № 3</vt:lpstr>
      <vt:lpstr>Приложение № 4</vt:lpstr>
      <vt:lpstr>Приложение № 5</vt:lpstr>
      <vt:lpstr>Приложение № 6</vt:lpstr>
      <vt:lpstr>'Прилоежние № 3'!Заголовки_для_печати</vt:lpstr>
      <vt:lpstr>'Приложение № 1'!Заголовки_для_печати</vt:lpstr>
      <vt:lpstr>'Приложение № 4'!Заголовки_для_печати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Сергей Калинин</dc:creator>
  <cp:lastModifiedBy>Калинин Сергей Фёдорович</cp:lastModifiedBy>
  <cp:lastPrinted>2017-06-15T08:09:03Z</cp:lastPrinted>
  <dcterms:created xsi:type="dcterms:W3CDTF">2016-09-15T13:33:37Z</dcterms:created>
  <dcterms:modified xsi:type="dcterms:W3CDTF">2017-06-15T08:19:47Z</dcterms:modified>
</cp:coreProperties>
</file>