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7 год\Бюджет 2017\3 кв._Исполнение\Отчет Правительства АО_на сессию\Заключение\"/>
    </mc:Choice>
  </mc:AlternateContent>
  <bookViews>
    <workbookView xWindow="480" yWindow="1512" windowWidth="27792" windowHeight="10692" tabRatio="725" firstSheet="8" activeTab="11"/>
  </bookViews>
  <sheets>
    <sheet name="1.1. Конс." sheetId="1" r:id="rId1"/>
    <sheet name="1.2. Конс_16 к 17" sheetId="6" r:id="rId2"/>
    <sheet name="1.3. Бюджеты МО" sheetId="2" r:id="rId3"/>
    <sheet name="1.4. Доходы МО" sheetId="4" r:id="rId4"/>
    <sheet name="1.5. Межбюд." sheetId="5" r:id="rId5"/>
    <sheet name="1.6. Кредит_МО" sheetId="11" r:id="rId6"/>
    <sheet name="3.1. Программы" sheetId="13" r:id="rId7"/>
    <sheet name="3.2. Не выполненные прогр." sheetId="14" r:id="rId8"/>
    <sheet name="4.1. ФХД БУ И АУ_конс." sheetId="7" r:id="rId9"/>
    <sheet name="4.2. ФХД_БУ И АУ_обл" sheetId="8" r:id="rId10"/>
    <sheet name="4.3. Долги_БУ и АУ_конс." sheetId="9" r:id="rId11"/>
    <sheet name="4.4. Долги_БУ И АУ_обл" sheetId="10" r:id="rId12"/>
    <sheet name="Черн." sheetId="3" state="hidden" r:id="rId13"/>
    <sheet name="Черн_кон.рас." sheetId="12" state="hidden" r:id="rId14"/>
  </sheets>
  <definedNames>
    <definedName name="_xlnm._FilterDatabase" localSheetId="1" hidden="1">'1.2. Конс_16 к 17'!$A$51:$S$51</definedName>
    <definedName name="_xlnm._FilterDatabase" localSheetId="2" hidden="1">'1.3. Бюджеты МО'!$A$8:$O$37</definedName>
    <definedName name="_xlnm._FilterDatabase" localSheetId="3" hidden="1">'1.4. Доходы МО'!$A$8:$S$35</definedName>
    <definedName name="_xlnm._FilterDatabase" localSheetId="4" hidden="1">'1.5. Межбюд.'!$A$9:$P$37</definedName>
    <definedName name="_xlnm._FilterDatabase" localSheetId="5" hidden="1">'1.6. Кредит_МО'!$A$7:$J$38</definedName>
    <definedName name="_xlnm._FilterDatabase" localSheetId="6" hidden="1">'3.1. Программы'!$A$8:$F$53</definedName>
    <definedName name="_xlnm._FilterDatabase" localSheetId="8" hidden="1">'4.1. ФХД БУ И АУ_конс.'!$A$9:$M$38</definedName>
    <definedName name="_xlnm.Print_Titles" localSheetId="1">'1.2. Конс_16 к 17'!$4:$8</definedName>
    <definedName name="_xlnm.Print_Titles" localSheetId="6">'3.1. Программы'!$6:$8</definedName>
    <definedName name="_xlnm.Print_Titles" localSheetId="7">'3.2. Не выполненные прогр.'!$5:$7</definedName>
    <definedName name="_xlnm.Print_Area" localSheetId="0">'1.1. Конс.'!$A$1:$AG$167</definedName>
    <definedName name="_xlnm.Print_Area" localSheetId="1">'1.2. Конс_16 к 17'!$A$1:$S$172</definedName>
    <definedName name="_xlnm.Print_Area" localSheetId="2">'1.3. Бюджеты МО'!$A$1:$O$35</definedName>
    <definedName name="_xlnm.Print_Area" localSheetId="3">'1.4. Доходы МО'!$A$1:$S$35</definedName>
    <definedName name="_xlnm.Print_Area" localSheetId="4">'1.5. Межбюд.'!$A$1:$P$36</definedName>
    <definedName name="_xlnm.Print_Area" localSheetId="5">'1.6. Кредит_МО'!$A$1:$J$34</definedName>
    <definedName name="_xlnm.Print_Area" localSheetId="6">'3.1. Программы'!$A$1:$F$53</definedName>
    <definedName name="_xlnm.Print_Area" localSheetId="7">'3.2. Не выполненные прогр.'!$A$1:$Y$158</definedName>
    <definedName name="_xlnm.Print_Area" localSheetId="8">'4.1. ФХД БУ И АУ_конс.'!$A$1:$M$38</definedName>
    <definedName name="_xlnm.Print_Area" localSheetId="9">'4.2. ФХД_БУ И АУ_обл'!$A$1:$M$29</definedName>
    <definedName name="_xlnm.Print_Area" localSheetId="10">'4.3. Долги_БУ и АУ_конс.'!$A$1:$Q$39</definedName>
    <definedName name="_xlnm.Print_Area" localSheetId="11">'4.4. Долги_БУ И АУ_обл'!$A$1:$Q$29</definedName>
    <definedName name="_xlnm.Print_Area" localSheetId="13">Черн_кон.рас.!$A$1:$AE$34</definedName>
  </definedNames>
  <calcPr calcId="152511"/>
</workbook>
</file>

<file path=xl/calcChain.xml><?xml version="1.0" encoding="utf-8"?>
<calcChain xmlns="http://schemas.openxmlformats.org/spreadsheetml/2006/main">
  <c r="F11" i="13" l="1"/>
  <c r="F9" i="13"/>
  <c r="F43" i="13"/>
  <c r="F186" i="13"/>
  <c r="F35" i="11" l="1"/>
  <c r="G35" i="11" s="1"/>
  <c r="E35" i="11"/>
  <c r="C35" i="11"/>
  <c r="D35" i="11" s="1"/>
  <c r="B35" i="11"/>
  <c r="H35" i="11" s="1"/>
  <c r="J35" i="11" l="1"/>
  <c r="D9" i="13" l="1"/>
  <c r="H9" i="13" s="1"/>
  <c r="D185" i="13"/>
  <c r="C185" i="13"/>
  <c r="B185" i="13"/>
  <c r="D184" i="13"/>
  <c r="F184" i="13" s="1"/>
  <c r="C184" i="13"/>
  <c r="B184" i="13"/>
  <c r="F183" i="13"/>
  <c r="E183" i="13"/>
  <c r="D183" i="13"/>
  <c r="C183" i="13"/>
  <c r="B183" i="13"/>
  <c r="F182" i="13"/>
  <c r="D182" i="13"/>
  <c r="E182" i="13" s="1"/>
  <c r="C182" i="13"/>
  <c r="B182" i="13"/>
  <c r="D181" i="13"/>
  <c r="C181" i="13"/>
  <c r="B181" i="13"/>
  <c r="D180" i="13"/>
  <c r="F180" i="13" s="1"/>
  <c r="C180" i="13"/>
  <c r="B180" i="13"/>
  <c r="F179" i="13"/>
  <c r="E179" i="13"/>
  <c r="D179" i="13"/>
  <c r="C179" i="13"/>
  <c r="B179" i="13"/>
  <c r="F178" i="13"/>
  <c r="D178" i="13"/>
  <c r="E178" i="13" s="1"/>
  <c r="C178" i="13"/>
  <c r="B178" i="13"/>
  <c r="D177" i="13"/>
  <c r="C177" i="13"/>
  <c r="B177" i="13"/>
  <c r="D176" i="13"/>
  <c r="F176" i="13" s="1"/>
  <c r="C176" i="13"/>
  <c r="B176" i="13"/>
  <c r="F175" i="13"/>
  <c r="E175" i="13"/>
  <c r="D175" i="13"/>
  <c r="C175" i="13"/>
  <c r="B175" i="13"/>
  <c r="F174" i="13"/>
  <c r="D174" i="13"/>
  <c r="E174" i="13" s="1"/>
  <c r="C174" i="13"/>
  <c r="B174" i="13"/>
  <c r="D173" i="13"/>
  <c r="C173" i="13"/>
  <c r="B173" i="13"/>
  <c r="D172" i="13"/>
  <c r="F172" i="13" s="1"/>
  <c r="C172" i="13"/>
  <c r="B172" i="13"/>
  <c r="F171" i="13"/>
  <c r="E171" i="13"/>
  <c r="D171" i="13"/>
  <c r="C171" i="13"/>
  <c r="B171" i="13"/>
  <c r="F170" i="13"/>
  <c r="D170" i="13"/>
  <c r="E170" i="13" s="1"/>
  <c r="C170" i="13"/>
  <c r="B170" i="13"/>
  <c r="D169" i="13"/>
  <c r="C169" i="13"/>
  <c r="B169" i="13"/>
  <c r="D168" i="13"/>
  <c r="F168" i="13" s="1"/>
  <c r="C168" i="13"/>
  <c r="B168" i="13"/>
  <c r="F167" i="13"/>
  <c r="E167" i="13"/>
  <c r="D167" i="13"/>
  <c r="C167" i="13"/>
  <c r="B167" i="13"/>
  <c r="D166" i="13"/>
  <c r="E166" i="13" s="1"/>
  <c r="C166" i="13"/>
  <c r="B166" i="13"/>
  <c r="D165" i="13"/>
  <c r="F165" i="13" s="1"/>
  <c r="C165" i="13"/>
  <c r="B165" i="13"/>
  <c r="F164" i="13"/>
  <c r="E164" i="13"/>
  <c r="D164" i="13"/>
  <c r="C164" i="13"/>
  <c r="B164" i="13"/>
  <c r="F163" i="13"/>
  <c r="D163" i="13"/>
  <c r="C163" i="13"/>
  <c r="B163" i="13"/>
  <c r="E163" i="13" s="1"/>
  <c r="D162" i="13"/>
  <c r="C162" i="13"/>
  <c r="B162" i="13"/>
  <c r="D161" i="13"/>
  <c r="C161" i="13"/>
  <c r="B161" i="13"/>
  <c r="D160" i="13"/>
  <c r="F160" i="13" s="1"/>
  <c r="C160" i="13"/>
  <c r="B160" i="13"/>
  <c r="F159" i="13"/>
  <c r="E159" i="13"/>
  <c r="D159" i="13"/>
  <c r="C159" i="13"/>
  <c r="B159" i="13"/>
  <c r="D158" i="13"/>
  <c r="E158" i="13" s="1"/>
  <c r="C158" i="13"/>
  <c r="B158" i="13"/>
  <c r="D157" i="13"/>
  <c r="F157" i="13" s="1"/>
  <c r="C157" i="13"/>
  <c r="B157" i="13"/>
  <c r="F156" i="13"/>
  <c r="E156" i="13"/>
  <c r="D156" i="13"/>
  <c r="C156" i="13"/>
  <c r="B156" i="13"/>
  <c r="F155" i="13"/>
  <c r="D155" i="13"/>
  <c r="C155" i="13"/>
  <c r="B155" i="13"/>
  <c r="E155" i="13" s="1"/>
  <c r="D154" i="13"/>
  <c r="C154" i="13"/>
  <c r="B154" i="13"/>
  <c r="D153" i="13"/>
  <c r="C153" i="13"/>
  <c r="B153" i="13"/>
  <c r="D152" i="13"/>
  <c r="F152" i="13" s="1"/>
  <c r="C152" i="13"/>
  <c r="B152" i="13"/>
  <c r="F151" i="13"/>
  <c r="E151" i="13"/>
  <c r="D151" i="13"/>
  <c r="C151" i="13"/>
  <c r="B151" i="13"/>
  <c r="D150" i="13"/>
  <c r="E150" i="13" s="1"/>
  <c r="C150" i="13"/>
  <c r="B150" i="13"/>
  <c r="D149" i="13"/>
  <c r="F149" i="13" s="1"/>
  <c r="C149" i="13"/>
  <c r="B149" i="13"/>
  <c r="F148" i="13"/>
  <c r="E148" i="13"/>
  <c r="D148" i="13"/>
  <c r="C148" i="13"/>
  <c r="B148" i="13"/>
  <c r="F147" i="13"/>
  <c r="D147" i="13"/>
  <c r="C147" i="13"/>
  <c r="B147" i="13"/>
  <c r="E147" i="13" s="1"/>
  <c r="D146" i="13"/>
  <c r="C146" i="13"/>
  <c r="B146" i="13"/>
  <c r="D145" i="13"/>
  <c r="C145" i="13"/>
  <c r="B145" i="13"/>
  <c r="D144" i="13"/>
  <c r="F144" i="13" s="1"/>
  <c r="C144" i="13"/>
  <c r="B144" i="13"/>
  <c r="F143" i="13"/>
  <c r="E143" i="13"/>
  <c r="D143" i="13"/>
  <c r="C143" i="13"/>
  <c r="B143" i="13"/>
  <c r="D142" i="13"/>
  <c r="E142" i="13" s="1"/>
  <c r="C142" i="13"/>
  <c r="B142" i="13"/>
  <c r="D141" i="13"/>
  <c r="F141" i="13" s="1"/>
  <c r="C141" i="13"/>
  <c r="B141" i="13"/>
  <c r="F140" i="13"/>
  <c r="E140" i="13"/>
  <c r="D140" i="13"/>
  <c r="C140" i="13"/>
  <c r="B140" i="13"/>
  <c r="F139" i="13"/>
  <c r="D139" i="13"/>
  <c r="C139" i="13"/>
  <c r="B139" i="13"/>
  <c r="E139" i="13" s="1"/>
  <c r="D138" i="13"/>
  <c r="C138" i="13"/>
  <c r="B138" i="13"/>
  <c r="D137" i="13"/>
  <c r="C137" i="13"/>
  <c r="B137" i="13"/>
  <c r="D136" i="13"/>
  <c r="F136" i="13" s="1"/>
  <c r="C136" i="13"/>
  <c r="B136" i="13"/>
  <c r="F135" i="13"/>
  <c r="E135" i="13"/>
  <c r="D135" i="13"/>
  <c r="C135" i="13"/>
  <c r="B135" i="13"/>
  <c r="D134" i="13"/>
  <c r="E134" i="13" s="1"/>
  <c r="C134" i="13"/>
  <c r="B134" i="13"/>
  <c r="D133" i="13"/>
  <c r="F133" i="13" s="1"/>
  <c r="C133" i="13"/>
  <c r="B133" i="13"/>
  <c r="F132" i="13"/>
  <c r="E132" i="13"/>
  <c r="D132" i="13"/>
  <c r="C132" i="13"/>
  <c r="B132" i="13"/>
  <c r="F131" i="13"/>
  <c r="D131" i="13"/>
  <c r="C131" i="13"/>
  <c r="B131" i="13"/>
  <c r="E131" i="13" s="1"/>
  <c r="D130" i="13"/>
  <c r="C130" i="13"/>
  <c r="B130" i="13"/>
  <c r="D129" i="13"/>
  <c r="C129" i="13"/>
  <c r="B129" i="13"/>
  <c r="D128" i="13"/>
  <c r="F128" i="13" s="1"/>
  <c r="C128" i="13"/>
  <c r="B128" i="13"/>
  <c r="F127" i="13"/>
  <c r="E127" i="13"/>
  <c r="D127" i="13"/>
  <c r="C127" i="13"/>
  <c r="B127" i="13"/>
  <c r="D126" i="13"/>
  <c r="E126" i="13" s="1"/>
  <c r="C126" i="13"/>
  <c r="B126" i="13"/>
  <c r="D125" i="13"/>
  <c r="F125" i="13" s="1"/>
  <c r="C125" i="13"/>
  <c r="B125" i="13"/>
  <c r="F124" i="13"/>
  <c r="E124" i="13"/>
  <c r="D124" i="13"/>
  <c r="C124" i="13"/>
  <c r="B124" i="13"/>
  <c r="F123" i="13"/>
  <c r="D123" i="13"/>
  <c r="C123" i="13"/>
  <c r="B123" i="13"/>
  <c r="E123" i="13" s="1"/>
  <c r="D122" i="13"/>
  <c r="C122" i="13"/>
  <c r="B122" i="13"/>
  <c r="D121" i="13"/>
  <c r="C121" i="13"/>
  <c r="B121" i="13"/>
  <c r="D120" i="13"/>
  <c r="F120" i="13" s="1"/>
  <c r="C120" i="13"/>
  <c r="B120" i="13"/>
  <c r="F119" i="13"/>
  <c r="E119" i="13"/>
  <c r="D119" i="13"/>
  <c r="C119" i="13"/>
  <c r="B119" i="13"/>
  <c r="D118" i="13"/>
  <c r="E118" i="13" s="1"/>
  <c r="C118" i="13"/>
  <c r="B118" i="13"/>
  <c r="D117" i="13"/>
  <c r="F117" i="13" s="1"/>
  <c r="C117" i="13"/>
  <c r="B117" i="13"/>
  <c r="F116" i="13"/>
  <c r="E116" i="13"/>
  <c r="D116" i="13"/>
  <c r="C116" i="13"/>
  <c r="B116" i="13"/>
  <c r="F115" i="13"/>
  <c r="D115" i="13"/>
  <c r="C115" i="13"/>
  <c r="B115" i="13"/>
  <c r="E115" i="13" s="1"/>
  <c r="D114" i="13"/>
  <c r="C114" i="13"/>
  <c r="B114" i="13"/>
  <c r="D113" i="13"/>
  <c r="C113" i="13"/>
  <c r="B113" i="13"/>
  <c r="D112" i="13"/>
  <c r="F112" i="13" s="1"/>
  <c r="C112" i="13"/>
  <c r="B112" i="13"/>
  <c r="F111" i="13"/>
  <c r="E111" i="13"/>
  <c r="D111" i="13"/>
  <c r="C111" i="13"/>
  <c r="B111" i="13"/>
  <c r="D110" i="13"/>
  <c r="E110" i="13" s="1"/>
  <c r="C110" i="13"/>
  <c r="B110" i="13"/>
  <c r="D109" i="13"/>
  <c r="F109" i="13" s="1"/>
  <c r="C109" i="13"/>
  <c r="B109" i="13"/>
  <c r="F108" i="13"/>
  <c r="E108" i="13"/>
  <c r="D108" i="13"/>
  <c r="C108" i="13"/>
  <c r="B108" i="13"/>
  <c r="F107" i="13"/>
  <c r="D107" i="13"/>
  <c r="C107" i="13"/>
  <c r="B107" i="13"/>
  <c r="E107" i="13" s="1"/>
  <c r="D106" i="13"/>
  <c r="C106" i="13"/>
  <c r="B106" i="13"/>
  <c r="D105" i="13"/>
  <c r="C105" i="13"/>
  <c r="B105" i="13"/>
  <c r="D104" i="13"/>
  <c r="F104" i="13" s="1"/>
  <c r="C104" i="13"/>
  <c r="B104" i="13"/>
  <c r="F103" i="13"/>
  <c r="E103" i="13"/>
  <c r="D103" i="13"/>
  <c r="C103" i="13"/>
  <c r="B103" i="13"/>
  <c r="D102" i="13"/>
  <c r="E102" i="13" s="1"/>
  <c r="C102" i="13"/>
  <c r="B102" i="13"/>
  <c r="D101" i="13"/>
  <c r="F101" i="13" s="1"/>
  <c r="C101" i="13"/>
  <c r="B101" i="13"/>
  <c r="F100" i="13"/>
  <c r="E100" i="13"/>
  <c r="D100" i="13"/>
  <c r="C100" i="13"/>
  <c r="B100" i="13"/>
  <c r="F99" i="13"/>
  <c r="D99" i="13"/>
  <c r="C99" i="13"/>
  <c r="B99" i="13"/>
  <c r="E99" i="13" s="1"/>
  <c r="D98" i="13"/>
  <c r="C98" i="13"/>
  <c r="B98" i="13"/>
  <c r="D97" i="13"/>
  <c r="C97" i="13"/>
  <c r="B97" i="13"/>
  <c r="D96" i="13"/>
  <c r="F96" i="13" s="1"/>
  <c r="C96" i="13"/>
  <c r="B96" i="13"/>
  <c r="F95" i="13"/>
  <c r="E95" i="13"/>
  <c r="D95" i="13"/>
  <c r="C95" i="13"/>
  <c r="B95" i="13"/>
  <c r="D94" i="13"/>
  <c r="E94" i="13" s="1"/>
  <c r="C94" i="13"/>
  <c r="B94" i="13"/>
  <c r="D93" i="13"/>
  <c r="F93" i="13" s="1"/>
  <c r="C93" i="13"/>
  <c r="B93" i="13"/>
  <c r="F92" i="13"/>
  <c r="E92" i="13"/>
  <c r="D92" i="13"/>
  <c r="C92" i="13"/>
  <c r="B92" i="13"/>
  <c r="F91" i="13"/>
  <c r="D91" i="13"/>
  <c r="C91" i="13"/>
  <c r="B91" i="13"/>
  <c r="E91" i="13" s="1"/>
  <c r="D90" i="13"/>
  <c r="C90" i="13"/>
  <c r="B90" i="13"/>
  <c r="D89" i="13"/>
  <c r="C89" i="13"/>
  <c r="B89" i="13"/>
  <c r="D88" i="13"/>
  <c r="F88" i="13" s="1"/>
  <c r="C88" i="13"/>
  <c r="B88" i="13"/>
  <c r="F87" i="13"/>
  <c r="E87" i="13"/>
  <c r="D87" i="13"/>
  <c r="C87" i="13"/>
  <c r="B87" i="13"/>
  <c r="D86" i="13"/>
  <c r="E86" i="13" s="1"/>
  <c r="C86" i="13"/>
  <c r="B86" i="13"/>
  <c r="D85" i="13"/>
  <c r="F85" i="13" s="1"/>
  <c r="C85" i="13"/>
  <c r="B85" i="13"/>
  <c r="F84" i="13"/>
  <c r="E84" i="13"/>
  <c r="D84" i="13"/>
  <c r="C84" i="13"/>
  <c r="B84" i="13"/>
  <c r="F83" i="13"/>
  <c r="D83" i="13"/>
  <c r="C83" i="13"/>
  <c r="B83" i="13"/>
  <c r="E83" i="13" s="1"/>
  <c r="D82" i="13"/>
  <c r="C82" i="13"/>
  <c r="B82" i="13"/>
  <c r="D81" i="13"/>
  <c r="C81" i="13"/>
  <c r="B81" i="13"/>
  <c r="D80" i="13"/>
  <c r="F80" i="13" s="1"/>
  <c r="C80" i="13"/>
  <c r="B80" i="13"/>
  <c r="F79" i="13"/>
  <c r="E79" i="13"/>
  <c r="D79" i="13"/>
  <c r="C79" i="13"/>
  <c r="B79" i="13"/>
  <c r="D78" i="13"/>
  <c r="E78" i="13" s="1"/>
  <c r="C78" i="13"/>
  <c r="B78" i="13"/>
  <c r="D77" i="13"/>
  <c r="F77" i="13" s="1"/>
  <c r="C77" i="13"/>
  <c r="B77" i="13"/>
  <c r="F76" i="13"/>
  <c r="E76" i="13"/>
  <c r="D76" i="13"/>
  <c r="C76" i="13"/>
  <c r="B76" i="13"/>
  <c r="F75" i="13"/>
  <c r="D75" i="13"/>
  <c r="C75" i="13"/>
  <c r="B75" i="13"/>
  <c r="E75" i="13" s="1"/>
  <c r="D74" i="13"/>
  <c r="C74" i="13"/>
  <c r="B74" i="13"/>
  <c r="D73" i="13"/>
  <c r="C73" i="13"/>
  <c r="B73" i="13"/>
  <c r="D72" i="13"/>
  <c r="F72" i="13" s="1"/>
  <c r="C72" i="13"/>
  <c r="B72" i="13"/>
  <c r="F71" i="13"/>
  <c r="E71" i="13"/>
  <c r="D71" i="13"/>
  <c r="C71" i="13"/>
  <c r="B71" i="13"/>
  <c r="D70" i="13"/>
  <c r="E70" i="13" s="1"/>
  <c r="C70" i="13"/>
  <c r="B70" i="13"/>
  <c r="D69" i="13"/>
  <c r="F69" i="13" s="1"/>
  <c r="C69" i="13"/>
  <c r="B69" i="13"/>
  <c r="F68" i="13"/>
  <c r="E68" i="13"/>
  <c r="D68" i="13"/>
  <c r="C68" i="13"/>
  <c r="B68" i="13"/>
  <c r="F67" i="13"/>
  <c r="D67" i="13"/>
  <c r="C67" i="13"/>
  <c r="B67" i="13"/>
  <c r="E67" i="13" s="1"/>
  <c r="D66" i="13"/>
  <c r="C66" i="13"/>
  <c r="B66" i="13"/>
  <c r="D65" i="13"/>
  <c r="C65" i="13"/>
  <c r="B65" i="13"/>
  <c r="D64" i="13"/>
  <c r="F64" i="13" s="1"/>
  <c r="C64" i="13"/>
  <c r="B64" i="13"/>
  <c r="F63" i="13"/>
  <c r="E63" i="13"/>
  <c r="D63" i="13"/>
  <c r="C63" i="13"/>
  <c r="B63" i="13"/>
  <c r="D62" i="13"/>
  <c r="E62" i="13" s="1"/>
  <c r="C62" i="13"/>
  <c r="B62" i="13"/>
  <c r="D61" i="13"/>
  <c r="F61" i="13" s="1"/>
  <c r="C61" i="13"/>
  <c r="B61" i="13"/>
  <c r="F60" i="13"/>
  <c r="E60" i="13"/>
  <c r="D60" i="13"/>
  <c r="C60" i="13"/>
  <c r="B60" i="13"/>
  <c r="F59" i="13"/>
  <c r="D59" i="13"/>
  <c r="C59" i="13"/>
  <c r="B59" i="13"/>
  <c r="E59" i="13" s="1"/>
  <c r="D58" i="13"/>
  <c r="C58" i="13"/>
  <c r="B58" i="13"/>
  <c r="D57" i="13"/>
  <c r="C57" i="13"/>
  <c r="B57" i="13"/>
  <c r="D56" i="13"/>
  <c r="F56" i="13" s="1"/>
  <c r="C56" i="13"/>
  <c r="B56" i="13"/>
  <c r="F55" i="13"/>
  <c r="E55" i="13"/>
  <c r="D55" i="13"/>
  <c r="C55" i="13"/>
  <c r="B55" i="13"/>
  <c r="D54" i="13"/>
  <c r="E54" i="13" s="1"/>
  <c r="C54" i="13"/>
  <c r="B54" i="13"/>
  <c r="D53" i="13"/>
  <c r="F53" i="13" s="1"/>
  <c r="C53" i="13"/>
  <c r="B53" i="13"/>
  <c r="F52" i="13"/>
  <c r="E52" i="13"/>
  <c r="D52" i="13"/>
  <c r="C52" i="13"/>
  <c r="B52" i="13"/>
  <c r="F51" i="13"/>
  <c r="D51" i="13"/>
  <c r="C51" i="13"/>
  <c r="B51" i="13"/>
  <c r="E51" i="13" s="1"/>
  <c r="D50" i="13"/>
  <c r="C50" i="13"/>
  <c r="B50" i="13"/>
  <c r="D49" i="13"/>
  <c r="C49" i="13"/>
  <c r="B49" i="13"/>
  <c r="D48" i="13"/>
  <c r="F48" i="13" s="1"/>
  <c r="C48" i="13"/>
  <c r="B48" i="13"/>
  <c r="F47" i="13"/>
  <c r="E47" i="13"/>
  <c r="D47" i="13"/>
  <c r="C47" i="13"/>
  <c r="B47" i="13"/>
  <c r="D46" i="13"/>
  <c r="E46" i="13" s="1"/>
  <c r="C46" i="13"/>
  <c r="B46" i="13"/>
  <c r="D45" i="13"/>
  <c r="F45" i="13" s="1"/>
  <c r="C45" i="13"/>
  <c r="B45" i="13"/>
  <c r="F44" i="13"/>
  <c r="E44" i="13"/>
  <c r="D44" i="13"/>
  <c r="C44" i="13"/>
  <c r="B44" i="13"/>
  <c r="E43" i="13"/>
  <c r="F42" i="13"/>
  <c r="E42" i="13"/>
  <c r="H41" i="13"/>
  <c r="G41" i="13"/>
  <c r="E41" i="13"/>
  <c r="H40" i="13"/>
  <c r="G40" i="13"/>
  <c r="F40" i="13"/>
  <c r="E40" i="13"/>
  <c r="F38" i="13"/>
  <c r="E38" i="13"/>
  <c r="D38" i="13"/>
  <c r="C38" i="13"/>
  <c r="B38" i="13"/>
  <c r="F36" i="13"/>
  <c r="E36" i="13"/>
  <c r="D34" i="13"/>
  <c r="C34" i="13"/>
  <c r="B34" i="13"/>
  <c r="H32" i="13"/>
  <c r="G32" i="13"/>
  <c r="F32" i="13"/>
  <c r="E32" i="13"/>
  <c r="H31" i="13"/>
  <c r="G31" i="13"/>
  <c r="F31" i="13"/>
  <c r="E31" i="13"/>
  <c r="H30" i="13"/>
  <c r="G30" i="13"/>
  <c r="F30" i="13"/>
  <c r="E30" i="13"/>
  <c r="H29" i="13"/>
  <c r="G29" i="13"/>
  <c r="F29" i="13"/>
  <c r="E29" i="13"/>
  <c r="H28" i="13"/>
  <c r="G28" i="13"/>
  <c r="F28" i="13"/>
  <c r="E28" i="13"/>
  <c r="H27" i="13"/>
  <c r="G27" i="13"/>
  <c r="F27" i="13"/>
  <c r="E27" i="13"/>
  <c r="H26" i="13"/>
  <c r="G26" i="13"/>
  <c r="F26" i="13"/>
  <c r="E26" i="13"/>
  <c r="H25" i="13"/>
  <c r="G25" i="13"/>
  <c r="F25" i="13"/>
  <c r="E25" i="13"/>
  <c r="H24" i="13"/>
  <c r="G24" i="13"/>
  <c r="F24" i="13"/>
  <c r="E24" i="13"/>
  <c r="H23" i="13"/>
  <c r="G23" i="13"/>
  <c r="F23" i="13"/>
  <c r="E23" i="13"/>
  <c r="H22" i="13"/>
  <c r="G22" i="13"/>
  <c r="F22" i="13"/>
  <c r="E22" i="13"/>
  <c r="H21" i="13"/>
  <c r="G21" i="13"/>
  <c r="F21" i="13"/>
  <c r="E21" i="13"/>
  <c r="H20" i="13"/>
  <c r="G20" i="13"/>
  <c r="F20" i="13"/>
  <c r="E20" i="13"/>
  <c r="H19" i="13"/>
  <c r="G19" i="13"/>
  <c r="F19" i="13"/>
  <c r="E19" i="13"/>
  <c r="H18" i="13"/>
  <c r="G18" i="13"/>
  <c r="F18" i="13"/>
  <c r="E18" i="13"/>
  <c r="H17" i="13"/>
  <c r="G17" i="13"/>
  <c r="F17" i="13"/>
  <c r="E17" i="13"/>
  <c r="H16" i="13"/>
  <c r="G16" i="13"/>
  <c r="F16" i="13"/>
  <c r="E16" i="13"/>
  <c r="H15" i="13"/>
  <c r="G15" i="13"/>
  <c r="F15" i="13"/>
  <c r="E15" i="13"/>
  <c r="H14" i="13"/>
  <c r="G14" i="13"/>
  <c r="F14" i="13"/>
  <c r="E14" i="13"/>
  <c r="H13" i="13"/>
  <c r="G13" i="13"/>
  <c r="F13" i="13"/>
  <c r="E13" i="13"/>
  <c r="H12" i="13"/>
  <c r="G12" i="13"/>
  <c r="F12" i="13"/>
  <c r="E12" i="13"/>
  <c r="H11" i="13"/>
  <c r="G11" i="13"/>
  <c r="E11" i="13"/>
  <c r="C9" i="13"/>
  <c r="C186" i="13" s="1"/>
  <c r="B9" i="13"/>
  <c r="B186" i="13" s="1"/>
  <c r="G9" i="13" l="1"/>
  <c r="F34" i="13"/>
  <c r="E45" i="13"/>
  <c r="F46" i="13"/>
  <c r="E53" i="13"/>
  <c r="F54" i="13"/>
  <c r="E61" i="13"/>
  <c r="F62" i="13"/>
  <c r="E69" i="13"/>
  <c r="F70" i="13"/>
  <c r="E77" i="13"/>
  <c r="F78" i="13"/>
  <c r="E85" i="13"/>
  <c r="F86" i="13"/>
  <c r="E93" i="13"/>
  <c r="F94" i="13"/>
  <c r="E101" i="13"/>
  <c r="F102" i="13"/>
  <c r="E109" i="13"/>
  <c r="F110" i="13"/>
  <c r="E117" i="13"/>
  <c r="F118" i="13"/>
  <c r="E125" i="13"/>
  <c r="F126" i="13"/>
  <c r="E133" i="13"/>
  <c r="F134" i="13"/>
  <c r="E141" i="13"/>
  <c r="F142" i="13"/>
  <c r="E149" i="13"/>
  <c r="F150" i="13"/>
  <c r="E157" i="13"/>
  <c r="F158" i="13"/>
  <c r="E165" i="13"/>
  <c r="F166" i="13"/>
  <c r="F169" i="13"/>
  <c r="E169" i="13"/>
  <c r="F173" i="13"/>
  <c r="E173" i="13"/>
  <c r="F177" i="13"/>
  <c r="E177" i="13"/>
  <c r="F181" i="13"/>
  <c r="E181" i="13"/>
  <c r="F185" i="13"/>
  <c r="E185" i="13"/>
  <c r="E34" i="13"/>
  <c r="E48" i="13"/>
  <c r="F49" i="13"/>
  <c r="E50" i="13"/>
  <c r="E56" i="13"/>
  <c r="F57" i="13"/>
  <c r="E58" i="13"/>
  <c r="E64" i="13"/>
  <c r="F65" i="13"/>
  <c r="E66" i="13"/>
  <c r="E72" i="13"/>
  <c r="F73" i="13"/>
  <c r="E74" i="13"/>
  <c r="E80" i="13"/>
  <c r="F81" i="13"/>
  <c r="E82" i="13"/>
  <c r="E88" i="13"/>
  <c r="F89" i="13"/>
  <c r="E90" i="13"/>
  <c r="E96" i="13"/>
  <c r="F97" i="13"/>
  <c r="E98" i="13"/>
  <c r="E104" i="13"/>
  <c r="F105" i="13"/>
  <c r="E106" i="13"/>
  <c r="E112" i="13"/>
  <c r="F113" i="13"/>
  <c r="E114" i="13"/>
  <c r="E120" i="13"/>
  <c r="F121" i="13"/>
  <c r="E122" i="13"/>
  <c r="E128" i="13"/>
  <c r="F129" i="13"/>
  <c r="E130" i="13"/>
  <c r="E136" i="13"/>
  <c r="F137" i="13"/>
  <c r="E138" i="13"/>
  <c r="E144" i="13"/>
  <c r="F145" i="13"/>
  <c r="E146" i="13"/>
  <c r="E152" i="13"/>
  <c r="F153" i="13"/>
  <c r="E154" i="13"/>
  <c r="E160" i="13"/>
  <c r="F161" i="13"/>
  <c r="E162" i="13"/>
  <c r="E168" i="13"/>
  <c r="E172" i="13"/>
  <c r="E176" i="13"/>
  <c r="E180" i="13"/>
  <c r="E184" i="13"/>
  <c r="E9" i="13"/>
  <c r="D186" i="13"/>
  <c r="E49" i="13"/>
  <c r="F50" i="13"/>
  <c r="E57" i="13"/>
  <c r="F58" i="13"/>
  <c r="E65" i="13"/>
  <c r="F66" i="13"/>
  <c r="E73" i="13"/>
  <c r="F74" i="13"/>
  <c r="E81" i="13"/>
  <c r="F82" i="13"/>
  <c r="E89" i="13"/>
  <c r="F90" i="13"/>
  <c r="E97" i="13"/>
  <c r="F98" i="13"/>
  <c r="E105" i="13"/>
  <c r="F106" i="13"/>
  <c r="E113" i="13"/>
  <c r="F114" i="13"/>
  <c r="E121" i="13"/>
  <c r="F122" i="13"/>
  <c r="E129" i="13"/>
  <c r="F130" i="13"/>
  <c r="E137" i="13"/>
  <c r="F138" i="13"/>
  <c r="E145" i="13"/>
  <c r="F146" i="13"/>
  <c r="E153" i="13"/>
  <c r="F154" i="13"/>
  <c r="E161" i="13"/>
  <c r="F162" i="13"/>
  <c r="R164" i="6"/>
  <c r="E186" i="13" l="1"/>
  <c r="H33" i="11"/>
  <c r="Y173" i="1" l="1"/>
  <c r="X173" i="1"/>
  <c r="Y172" i="1"/>
  <c r="X172" i="1"/>
  <c r="P112" i="6" l="1"/>
  <c r="R139" i="6"/>
  <c r="K40" i="5"/>
  <c r="K39" i="5"/>
  <c r="K37" i="5"/>
  <c r="K38" i="5"/>
  <c r="T28" i="6"/>
  <c r="M51" i="9" l="1"/>
  <c r="N48" i="9"/>
  <c r="O48" i="9"/>
  <c r="P48" i="9"/>
  <c r="Q48" i="9"/>
  <c r="N49" i="9"/>
  <c r="O49" i="9"/>
  <c r="P49" i="9"/>
  <c r="Q49" i="9"/>
  <c r="O47" i="9"/>
  <c r="P47" i="9"/>
  <c r="Q47" i="9"/>
  <c r="N47" i="9"/>
  <c r="F48" i="9"/>
  <c r="G48" i="9"/>
  <c r="H48" i="9"/>
  <c r="I48" i="9"/>
  <c r="F49" i="9"/>
  <c r="G49" i="9"/>
  <c r="H49" i="9"/>
  <c r="I49" i="9"/>
  <c r="G47" i="9"/>
  <c r="H47" i="9"/>
  <c r="I47" i="9"/>
  <c r="F47" i="9"/>
  <c r="B41" i="9" l="1"/>
  <c r="C41" i="9"/>
  <c r="D41" i="9"/>
  <c r="E41" i="9"/>
  <c r="F41" i="9"/>
  <c r="G41" i="9"/>
  <c r="H41" i="9"/>
  <c r="I41" i="9"/>
  <c r="B42" i="9"/>
  <c r="C42" i="9"/>
  <c r="D42" i="9"/>
  <c r="E42" i="9"/>
  <c r="F42" i="9"/>
  <c r="G42" i="9"/>
  <c r="H42" i="9"/>
  <c r="I42" i="9"/>
  <c r="B43" i="9"/>
  <c r="C43" i="9"/>
  <c r="D43" i="9"/>
  <c r="E43" i="9"/>
  <c r="F43" i="9"/>
  <c r="G43" i="9"/>
  <c r="H43" i="9"/>
  <c r="I43" i="9"/>
  <c r="K41" i="9"/>
  <c r="L41" i="9"/>
  <c r="M41" i="9"/>
  <c r="N41" i="9"/>
  <c r="O41" i="9"/>
  <c r="P41" i="9"/>
  <c r="Q41" i="9"/>
  <c r="K42" i="9"/>
  <c r="L42" i="9"/>
  <c r="M42" i="9"/>
  <c r="N42" i="9"/>
  <c r="O42" i="9"/>
  <c r="P42" i="9"/>
  <c r="Q42" i="9"/>
  <c r="K43" i="9"/>
  <c r="L43" i="9"/>
  <c r="M43" i="9"/>
  <c r="N43" i="9"/>
  <c r="O43" i="9"/>
  <c r="P43" i="9"/>
  <c r="Q43" i="9"/>
  <c r="J42" i="9"/>
  <c r="J43" i="9"/>
  <c r="J41" i="9"/>
  <c r="DX8" i="3" l="1"/>
  <c r="DY8" i="3"/>
  <c r="DX9" i="3"/>
  <c r="DY9" i="3"/>
  <c r="DX10" i="3"/>
  <c r="DY10" i="3"/>
  <c r="DX11" i="3"/>
  <c r="DY11" i="3"/>
  <c r="DX12" i="3"/>
  <c r="DY12" i="3"/>
  <c r="DX13" i="3"/>
  <c r="DY13" i="3"/>
  <c r="DX14" i="3"/>
  <c r="DY14" i="3"/>
  <c r="DX15" i="3"/>
  <c r="DY15" i="3"/>
  <c r="DX16" i="3"/>
  <c r="DY16" i="3"/>
  <c r="DX17" i="3"/>
  <c r="DY17" i="3"/>
  <c r="DX18" i="3"/>
  <c r="DY18" i="3"/>
  <c r="DX19" i="3"/>
  <c r="DY19" i="3"/>
  <c r="DX20" i="3"/>
  <c r="DY20" i="3"/>
  <c r="DX21" i="3"/>
  <c r="DY21" i="3"/>
  <c r="DX22" i="3"/>
  <c r="DY22" i="3"/>
  <c r="DX23" i="3"/>
  <c r="DY23" i="3"/>
  <c r="DX24" i="3"/>
  <c r="DY24" i="3"/>
  <c r="DX25" i="3"/>
  <c r="DY25" i="3"/>
  <c r="DX26" i="3"/>
  <c r="DY26" i="3"/>
  <c r="DX27" i="3"/>
  <c r="DY27" i="3"/>
  <c r="DX28" i="3"/>
  <c r="DY28" i="3"/>
  <c r="DX29" i="3"/>
  <c r="DY29" i="3"/>
  <c r="DX30" i="3"/>
  <c r="DY30" i="3"/>
  <c r="DX31" i="3"/>
  <c r="DY31" i="3"/>
  <c r="DX32" i="3"/>
  <c r="DY32" i="3"/>
  <c r="DY7" i="3"/>
  <c r="DY33" i="3" s="1"/>
  <c r="DX7" i="3"/>
  <c r="DX33" i="3" s="1"/>
  <c r="AY63" i="3" l="1"/>
  <c r="S90" i="6"/>
  <c r="R90" i="6"/>
  <c r="Q90" i="6"/>
  <c r="P90" i="6"/>
  <c r="O90" i="6"/>
  <c r="N90" i="6"/>
  <c r="W139" i="6" l="1"/>
  <c r="W135" i="6"/>
  <c r="BZ8" i="3" l="1"/>
  <c r="BZ9" i="3"/>
  <c r="BZ10" i="3"/>
  <c r="BZ11" i="3"/>
  <c r="BZ12" i="3"/>
  <c r="BZ13" i="3"/>
  <c r="BZ14" i="3"/>
  <c r="BZ1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7" i="3"/>
  <c r="BY33" i="3"/>
  <c r="BZ33" i="3" l="1"/>
  <c r="DR32" i="3"/>
  <c r="DR31" i="3"/>
  <c r="DR30" i="3"/>
  <c r="DR29" i="3"/>
  <c r="DR28" i="3"/>
  <c r="DR27" i="3"/>
  <c r="DR26" i="3"/>
  <c r="DR25" i="3"/>
  <c r="DR24" i="3"/>
  <c r="DR23" i="3"/>
  <c r="DR22" i="3"/>
  <c r="DR21" i="3"/>
  <c r="DR20" i="3"/>
  <c r="DR19" i="3"/>
  <c r="DR18" i="3"/>
  <c r="DR17" i="3"/>
  <c r="DR16" i="3"/>
  <c r="DR15" i="3"/>
  <c r="DR14" i="3"/>
  <c r="DR13" i="3"/>
  <c r="DR12" i="3"/>
  <c r="DR11" i="3"/>
  <c r="DR10" i="3"/>
  <c r="DR9" i="3"/>
  <c r="DR8" i="3"/>
  <c r="DR7" i="3"/>
  <c r="DP32" i="3"/>
  <c r="DP31" i="3"/>
  <c r="DP30" i="3"/>
  <c r="DP29" i="3"/>
  <c r="DP28" i="3"/>
  <c r="DP27" i="3"/>
  <c r="DP26" i="3"/>
  <c r="DP25" i="3"/>
  <c r="DP24" i="3"/>
  <c r="DP23" i="3"/>
  <c r="DP22" i="3"/>
  <c r="DP21" i="3"/>
  <c r="DP20" i="3"/>
  <c r="DP19" i="3"/>
  <c r="DP18" i="3"/>
  <c r="DP17" i="3"/>
  <c r="DP16" i="3"/>
  <c r="DP15" i="3"/>
  <c r="DP14" i="3"/>
  <c r="DP13" i="3"/>
  <c r="DP12" i="3"/>
  <c r="DP11" i="3"/>
  <c r="DP10" i="3"/>
  <c r="DP9" i="3"/>
  <c r="DP8" i="3"/>
  <c r="DP7" i="3"/>
  <c r="DS8" i="3" l="1"/>
  <c r="DS12" i="3"/>
  <c r="DS16" i="3"/>
  <c r="DS20" i="3"/>
  <c r="DS9" i="3"/>
  <c r="DS13" i="3"/>
  <c r="DS17" i="3"/>
  <c r="DS21" i="3"/>
  <c r="DS25" i="3"/>
  <c r="DS29" i="3"/>
  <c r="DS10" i="3"/>
  <c r="DS14" i="3"/>
  <c r="DS18" i="3"/>
  <c r="DS22" i="3"/>
  <c r="DS26" i="3"/>
  <c r="DS30" i="3"/>
  <c r="DS7" i="3"/>
  <c r="DS11" i="3"/>
  <c r="DS15" i="3"/>
  <c r="DS19" i="3"/>
  <c r="DS23" i="3"/>
  <c r="DS27" i="3"/>
  <c r="DS31" i="3"/>
  <c r="DS24" i="3"/>
  <c r="DS28" i="3"/>
  <c r="DS32" i="3"/>
  <c r="DP33" i="3"/>
  <c r="DR33" i="3"/>
  <c r="N18" i="6"/>
  <c r="O18" i="6"/>
  <c r="P18" i="6"/>
  <c r="Q18" i="6"/>
  <c r="S18" i="6"/>
  <c r="S17" i="6"/>
  <c r="R17" i="6"/>
  <c r="Q17" i="6"/>
  <c r="P17" i="6"/>
  <c r="O17" i="6"/>
  <c r="N17" i="6"/>
  <c r="S16" i="6"/>
  <c r="Q16" i="6"/>
  <c r="P16" i="6"/>
  <c r="O16" i="6"/>
  <c r="N16" i="6"/>
  <c r="R15" i="6"/>
  <c r="Q15" i="6"/>
  <c r="P15" i="6"/>
  <c r="O15" i="6"/>
  <c r="N15" i="6"/>
  <c r="DS33" i="3" l="1"/>
  <c r="J152" i="6"/>
  <c r="J148" i="6"/>
  <c r="J146" i="6"/>
  <c r="J143" i="6"/>
  <c r="J141" i="6"/>
  <c r="J139" i="6"/>
  <c r="J124" i="6"/>
  <c r="J122" i="6"/>
  <c r="J116" i="6"/>
  <c r="J101" i="6"/>
  <c r="J99" i="6"/>
  <c r="J97" i="6"/>
  <c r="J95" i="6"/>
  <c r="J92" i="6"/>
  <c r="J89" i="6"/>
  <c r="J87" i="6"/>
  <c r="J84" i="6"/>
  <c r="R84" i="6"/>
  <c r="J82" i="6"/>
  <c r="O81" i="6"/>
  <c r="N81" i="6"/>
  <c r="J75" i="6"/>
  <c r="J73" i="6"/>
  <c r="J69" i="6"/>
  <c r="J66" i="6"/>
  <c r="J61" i="6"/>
  <c r="J59" i="6"/>
  <c r="J56" i="6"/>
  <c r="S168" i="6" l="1"/>
  <c r="D152" i="6"/>
  <c r="D148" i="6"/>
  <c r="D146" i="6"/>
  <c r="D143" i="6"/>
  <c r="D141" i="6"/>
  <c r="D139" i="6"/>
  <c r="D124" i="6"/>
  <c r="D122" i="6"/>
  <c r="D116" i="6"/>
  <c r="D101" i="6"/>
  <c r="D99" i="6"/>
  <c r="D97" i="6"/>
  <c r="D95" i="6"/>
  <c r="D92" i="6"/>
  <c r="D89" i="6"/>
  <c r="D87" i="6"/>
  <c r="D84" i="6"/>
  <c r="D82" i="6"/>
  <c r="D80" i="6"/>
  <c r="D75" i="6"/>
  <c r="D73" i="6"/>
  <c r="D69" i="6"/>
  <c r="D66" i="6"/>
  <c r="D61" i="6"/>
  <c r="D59" i="6"/>
  <c r="D56" i="6"/>
  <c r="D54" i="6"/>
  <c r="D35" i="6" l="1"/>
  <c r="D34" i="6"/>
  <c r="C35" i="6"/>
  <c r="B35" i="6"/>
  <c r="C34" i="6"/>
  <c r="B34" i="6"/>
  <c r="D30" i="6"/>
  <c r="C30" i="6"/>
  <c r="B32" i="6"/>
  <c r="B31" i="6"/>
  <c r="B30" i="6"/>
  <c r="B25" i="6"/>
  <c r="B23" i="6"/>
  <c r="B22" i="6"/>
  <c r="B21" i="6"/>
  <c r="B20" i="6"/>
  <c r="AE8" i="12" l="1"/>
  <c r="K10" i="5" s="1"/>
  <c r="L32" i="5" l="1"/>
  <c r="O28" i="5"/>
  <c r="N27" i="5"/>
  <c r="O26" i="5"/>
  <c r="N25" i="5"/>
  <c r="P22" i="5"/>
  <c r="M17" i="5"/>
  <c r="L16" i="5"/>
  <c r="M15" i="5"/>
  <c r="L14" i="5"/>
  <c r="O10" i="5"/>
  <c r="AD34" i="12"/>
  <c r="AC34" i="12"/>
  <c r="AA34" i="12"/>
  <c r="Z34" i="12"/>
  <c r="X34" i="12"/>
  <c r="W34" i="12"/>
  <c r="U34" i="12"/>
  <c r="T34" i="12"/>
  <c r="R34" i="12"/>
  <c r="Q34" i="12"/>
  <c r="O34" i="12"/>
  <c r="N34" i="12"/>
  <c r="L34" i="12"/>
  <c r="K34" i="12"/>
  <c r="I34" i="12"/>
  <c r="H34" i="12"/>
  <c r="F34" i="12"/>
  <c r="E34" i="12"/>
  <c r="C34" i="12"/>
  <c r="B34" i="12"/>
  <c r="AE33" i="12"/>
  <c r="K35" i="5" s="1"/>
  <c r="AB33" i="12"/>
  <c r="J35" i="5" s="1"/>
  <c r="O35" i="5" s="1"/>
  <c r="Y33" i="12"/>
  <c r="I35" i="5" s="1"/>
  <c r="N35" i="5" s="1"/>
  <c r="V33" i="12"/>
  <c r="H35" i="5" s="1"/>
  <c r="S33" i="12"/>
  <c r="G35" i="5" s="1"/>
  <c r="P33" i="12"/>
  <c r="F35" i="5" s="1"/>
  <c r="M33" i="12"/>
  <c r="E35" i="5" s="1"/>
  <c r="J33" i="12"/>
  <c r="D35" i="5" s="1"/>
  <c r="G33" i="12"/>
  <c r="C35" i="5" s="1"/>
  <c r="D33" i="12"/>
  <c r="B35" i="5" s="1"/>
  <c r="L35" i="5" s="1"/>
  <c r="AE32" i="12"/>
  <c r="K34" i="5" s="1"/>
  <c r="AB32" i="12"/>
  <c r="J34" i="5" s="1"/>
  <c r="O34" i="5" s="1"/>
  <c r="Y32" i="12"/>
  <c r="I34" i="5" s="1"/>
  <c r="N34" i="5" s="1"/>
  <c r="V32" i="12"/>
  <c r="H34" i="5" s="1"/>
  <c r="R34" i="5" s="1"/>
  <c r="S32" i="12"/>
  <c r="G34" i="5" s="1"/>
  <c r="P32" i="12"/>
  <c r="F34" i="5" s="1"/>
  <c r="M32" i="12"/>
  <c r="E34" i="5" s="1"/>
  <c r="J32" i="12"/>
  <c r="D34" i="5" s="1"/>
  <c r="G32" i="12"/>
  <c r="C34" i="5" s="1"/>
  <c r="D32" i="12"/>
  <c r="B34" i="5" s="1"/>
  <c r="AE31" i="12"/>
  <c r="K33" i="5" s="1"/>
  <c r="AB31" i="12"/>
  <c r="J33" i="5" s="1"/>
  <c r="Y31" i="12"/>
  <c r="I33" i="5" s="1"/>
  <c r="N33" i="5" s="1"/>
  <c r="V31" i="12"/>
  <c r="H33" i="5" s="1"/>
  <c r="M33" i="5" s="1"/>
  <c r="S31" i="12"/>
  <c r="G33" i="5" s="1"/>
  <c r="L33" i="5" s="1"/>
  <c r="P31" i="12"/>
  <c r="F33" i="5" s="1"/>
  <c r="P33" i="5" s="1"/>
  <c r="M31" i="12"/>
  <c r="E33" i="5" s="1"/>
  <c r="J31" i="12"/>
  <c r="D33" i="5" s="1"/>
  <c r="G31" i="12"/>
  <c r="C33" i="5" s="1"/>
  <c r="D31" i="12"/>
  <c r="B33" i="5" s="1"/>
  <c r="AE30" i="12"/>
  <c r="K32" i="5" s="1"/>
  <c r="P32" i="5" s="1"/>
  <c r="AB30" i="12"/>
  <c r="J32" i="5" s="1"/>
  <c r="O32" i="5" s="1"/>
  <c r="Y30" i="12"/>
  <c r="I32" i="5" s="1"/>
  <c r="N32" i="5" s="1"/>
  <c r="V30" i="12"/>
  <c r="H32" i="5" s="1"/>
  <c r="M32" i="5" s="1"/>
  <c r="S30" i="12"/>
  <c r="G32" i="5" s="1"/>
  <c r="P30" i="12"/>
  <c r="F32" i="5" s="1"/>
  <c r="M30" i="12"/>
  <c r="E32" i="5" s="1"/>
  <c r="J30" i="12"/>
  <c r="D32" i="5" s="1"/>
  <c r="G30" i="12"/>
  <c r="C32" i="5" s="1"/>
  <c r="D30" i="12"/>
  <c r="B32" i="5" s="1"/>
  <c r="AE29" i="12"/>
  <c r="K31" i="5" s="1"/>
  <c r="AB29" i="12"/>
  <c r="J31" i="5" s="1"/>
  <c r="O31" i="5" s="1"/>
  <c r="Y29" i="12"/>
  <c r="I31" i="5" s="1"/>
  <c r="N31" i="5" s="1"/>
  <c r="V29" i="12"/>
  <c r="H31" i="5" s="1"/>
  <c r="M31" i="5" s="1"/>
  <c r="S29" i="12"/>
  <c r="G31" i="5" s="1"/>
  <c r="L31" i="5" s="1"/>
  <c r="P29" i="12"/>
  <c r="F31" i="5" s="1"/>
  <c r="P31" i="5" s="1"/>
  <c r="M29" i="12"/>
  <c r="E31" i="5" s="1"/>
  <c r="J29" i="12"/>
  <c r="D31" i="5" s="1"/>
  <c r="G29" i="12"/>
  <c r="C31" i="5" s="1"/>
  <c r="D29" i="12"/>
  <c r="B31" i="5" s="1"/>
  <c r="AE28" i="12"/>
  <c r="K30" i="5" s="1"/>
  <c r="P30" i="5" s="1"/>
  <c r="AB28" i="12"/>
  <c r="J30" i="5" s="1"/>
  <c r="Y28" i="12"/>
  <c r="I30" i="5" s="1"/>
  <c r="N30" i="5" s="1"/>
  <c r="V28" i="12"/>
  <c r="H30" i="5" s="1"/>
  <c r="M30" i="5" s="1"/>
  <c r="S28" i="12"/>
  <c r="G30" i="5" s="1"/>
  <c r="L30" i="5" s="1"/>
  <c r="P28" i="12"/>
  <c r="F30" i="5" s="1"/>
  <c r="M28" i="12"/>
  <c r="E30" i="5" s="1"/>
  <c r="J28" i="12"/>
  <c r="D30" i="5" s="1"/>
  <c r="G28" i="12"/>
  <c r="C30" i="5" s="1"/>
  <c r="D28" i="12"/>
  <c r="B30" i="5" s="1"/>
  <c r="AE27" i="12"/>
  <c r="K29" i="5" s="1"/>
  <c r="AB27" i="12"/>
  <c r="J29" i="5" s="1"/>
  <c r="O29" i="5" s="1"/>
  <c r="Y27" i="12"/>
  <c r="I29" i="5" s="1"/>
  <c r="N29" i="5" s="1"/>
  <c r="V27" i="12"/>
  <c r="H29" i="5" s="1"/>
  <c r="S27" i="12"/>
  <c r="G29" i="5" s="1"/>
  <c r="L29" i="5" s="1"/>
  <c r="P27" i="12"/>
  <c r="F29" i="5" s="1"/>
  <c r="P29" i="5" s="1"/>
  <c r="M27" i="12"/>
  <c r="E29" i="5" s="1"/>
  <c r="J27" i="12"/>
  <c r="D29" i="5" s="1"/>
  <c r="G27" i="12"/>
  <c r="C29" i="5" s="1"/>
  <c r="D27" i="12"/>
  <c r="B29" i="5" s="1"/>
  <c r="AE26" i="12"/>
  <c r="K28" i="5" s="1"/>
  <c r="AB26" i="12"/>
  <c r="J28" i="5" s="1"/>
  <c r="Y26" i="12"/>
  <c r="I28" i="5" s="1"/>
  <c r="N28" i="5" s="1"/>
  <c r="V26" i="12"/>
  <c r="H28" i="5" s="1"/>
  <c r="M28" i="5" s="1"/>
  <c r="S26" i="12"/>
  <c r="G28" i="5" s="1"/>
  <c r="P26" i="12"/>
  <c r="F28" i="5" s="1"/>
  <c r="M26" i="12"/>
  <c r="E28" i="5" s="1"/>
  <c r="J26" i="12"/>
  <c r="D28" i="5" s="1"/>
  <c r="G26" i="12"/>
  <c r="C28" i="5" s="1"/>
  <c r="D26" i="12"/>
  <c r="B28" i="5" s="1"/>
  <c r="AE25" i="12"/>
  <c r="K27" i="5" s="1"/>
  <c r="P27" i="5" s="1"/>
  <c r="AB25" i="12"/>
  <c r="J27" i="5" s="1"/>
  <c r="Y25" i="12"/>
  <c r="I27" i="5" s="1"/>
  <c r="V25" i="12"/>
  <c r="H27" i="5" s="1"/>
  <c r="M27" i="5" s="1"/>
  <c r="S25" i="12"/>
  <c r="G27" i="5" s="1"/>
  <c r="L27" i="5" s="1"/>
  <c r="P25" i="12"/>
  <c r="F27" i="5" s="1"/>
  <c r="M25" i="12"/>
  <c r="E27" i="5" s="1"/>
  <c r="J25" i="12"/>
  <c r="D27" i="5" s="1"/>
  <c r="G25" i="12"/>
  <c r="C27" i="5" s="1"/>
  <c r="D25" i="12"/>
  <c r="B27" i="5" s="1"/>
  <c r="AE24" i="12"/>
  <c r="K26" i="5" s="1"/>
  <c r="P26" i="5" s="1"/>
  <c r="AB24" i="12"/>
  <c r="J26" i="5" s="1"/>
  <c r="Y24" i="12"/>
  <c r="I26" i="5" s="1"/>
  <c r="V24" i="12"/>
  <c r="H26" i="5" s="1"/>
  <c r="M26" i="5" s="1"/>
  <c r="S24" i="12"/>
  <c r="G26" i="5" s="1"/>
  <c r="L26" i="5" s="1"/>
  <c r="P24" i="12"/>
  <c r="F26" i="5" s="1"/>
  <c r="M24" i="12"/>
  <c r="E26" i="5" s="1"/>
  <c r="J24" i="12"/>
  <c r="D26" i="5" s="1"/>
  <c r="G24" i="12"/>
  <c r="C26" i="5" s="1"/>
  <c r="D24" i="12"/>
  <c r="B26" i="5" s="1"/>
  <c r="AE23" i="12"/>
  <c r="K25" i="5" s="1"/>
  <c r="P25" i="5" s="1"/>
  <c r="AB23" i="12"/>
  <c r="J25" i="5" s="1"/>
  <c r="O25" i="5" s="1"/>
  <c r="Y23" i="12"/>
  <c r="I25" i="5" s="1"/>
  <c r="V23" i="12"/>
  <c r="H25" i="5" s="1"/>
  <c r="S23" i="12"/>
  <c r="G25" i="5" s="1"/>
  <c r="L25" i="5" s="1"/>
  <c r="P23" i="12"/>
  <c r="F25" i="5" s="1"/>
  <c r="M23" i="12"/>
  <c r="E25" i="5" s="1"/>
  <c r="J23" i="12"/>
  <c r="D25" i="5" s="1"/>
  <c r="G23" i="12"/>
  <c r="C25" i="5" s="1"/>
  <c r="D23" i="12"/>
  <c r="B25" i="5" s="1"/>
  <c r="AE22" i="12"/>
  <c r="K24" i="5" s="1"/>
  <c r="AB22" i="12"/>
  <c r="J24" i="5" s="1"/>
  <c r="O24" i="5" s="1"/>
  <c r="Y22" i="12"/>
  <c r="I24" i="5" s="1"/>
  <c r="N24" i="5" s="1"/>
  <c r="V22" i="12"/>
  <c r="H24" i="5" s="1"/>
  <c r="M24" i="5" s="1"/>
  <c r="S22" i="12"/>
  <c r="G24" i="5" s="1"/>
  <c r="P22" i="12"/>
  <c r="F24" i="5" s="1"/>
  <c r="M22" i="12"/>
  <c r="E24" i="5" s="1"/>
  <c r="J22" i="12"/>
  <c r="D24" i="5" s="1"/>
  <c r="G22" i="12"/>
  <c r="C24" i="5" s="1"/>
  <c r="D22" i="12"/>
  <c r="B24" i="5" s="1"/>
  <c r="AE21" i="12"/>
  <c r="K23" i="5" s="1"/>
  <c r="AB21" i="12"/>
  <c r="J23" i="5" s="1"/>
  <c r="Y21" i="12"/>
  <c r="I23" i="5" s="1"/>
  <c r="N23" i="5" s="1"/>
  <c r="V21" i="12"/>
  <c r="H23" i="5" s="1"/>
  <c r="M23" i="5" s="1"/>
  <c r="S21" i="12"/>
  <c r="G23" i="5" s="1"/>
  <c r="L23" i="5" s="1"/>
  <c r="P21" i="12"/>
  <c r="F23" i="5" s="1"/>
  <c r="Q23" i="5" s="1"/>
  <c r="M21" i="12"/>
  <c r="E23" i="5" s="1"/>
  <c r="J21" i="12"/>
  <c r="D23" i="5" s="1"/>
  <c r="G21" i="12"/>
  <c r="C23" i="5" s="1"/>
  <c r="D21" i="12"/>
  <c r="B23" i="5" s="1"/>
  <c r="AE20" i="12"/>
  <c r="K22" i="5" s="1"/>
  <c r="AB20" i="12"/>
  <c r="J22" i="5" s="1"/>
  <c r="O22" i="5" s="1"/>
  <c r="Y20" i="12"/>
  <c r="I22" i="5" s="1"/>
  <c r="N22" i="5" s="1"/>
  <c r="V20" i="12"/>
  <c r="H22" i="5" s="1"/>
  <c r="M22" i="5" s="1"/>
  <c r="S20" i="12"/>
  <c r="G22" i="5" s="1"/>
  <c r="L22" i="5" s="1"/>
  <c r="P20" i="12"/>
  <c r="F22" i="5" s="1"/>
  <c r="M20" i="12"/>
  <c r="E22" i="5" s="1"/>
  <c r="J20" i="12"/>
  <c r="D22" i="5" s="1"/>
  <c r="G20" i="12"/>
  <c r="C22" i="5" s="1"/>
  <c r="D20" i="12"/>
  <c r="B22" i="5" s="1"/>
  <c r="AE19" i="12"/>
  <c r="K21" i="5" s="1"/>
  <c r="AB19" i="12"/>
  <c r="J21" i="5" s="1"/>
  <c r="O21" i="5" s="1"/>
  <c r="Y19" i="12"/>
  <c r="I21" i="5" s="1"/>
  <c r="N21" i="5" s="1"/>
  <c r="V19" i="12"/>
  <c r="H21" i="5" s="1"/>
  <c r="M21" i="5" s="1"/>
  <c r="S19" i="12"/>
  <c r="G21" i="5" s="1"/>
  <c r="L21" i="5" s="1"/>
  <c r="P19" i="12"/>
  <c r="F21" i="5" s="1"/>
  <c r="M19" i="12"/>
  <c r="E21" i="5" s="1"/>
  <c r="J19" i="12"/>
  <c r="D21" i="5" s="1"/>
  <c r="G19" i="12"/>
  <c r="C21" i="5" s="1"/>
  <c r="D19" i="12"/>
  <c r="B21" i="5" s="1"/>
  <c r="AE18" i="12"/>
  <c r="K20" i="5" s="1"/>
  <c r="AB18" i="12"/>
  <c r="J20" i="5" s="1"/>
  <c r="Y18" i="12"/>
  <c r="I20" i="5" s="1"/>
  <c r="N20" i="5" s="1"/>
  <c r="V18" i="12"/>
  <c r="H20" i="5" s="1"/>
  <c r="M20" i="5" s="1"/>
  <c r="S18" i="12"/>
  <c r="G20" i="5" s="1"/>
  <c r="L20" i="5" s="1"/>
  <c r="P18" i="12"/>
  <c r="F20" i="5" s="1"/>
  <c r="M18" i="12"/>
  <c r="E20" i="5" s="1"/>
  <c r="J18" i="12"/>
  <c r="D20" i="5" s="1"/>
  <c r="G18" i="12"/>
  <c r="C20" i="5" s="1"/>
  <c r="D18" i="12"/>
  <c r="B20" i="5" s="1"/>
  <c r="AE17" i="12"/>
  <c r="K19" i="5" s="1"/>
  <c r="AB17" i="12"/>
  <c r="J19" i="5" s="1"/>
  <c r="O19" i="5" s="1"/>
  <c r="Y17" i="12"/>
  <c r="I19" i="5" s="1"/>
  <c r="V17" i="12"/>
  <c r="H19" i="5" s="1"/>
  <c r="M19" i="5" s="1"/>
  <c r="S17" i="12"/>
  <c r="G19" i="5" s="1"/>
  <c r="L19" i="5" s="1"/>
  <c r="P17" i="12"/>
  <c r="F19" i="5" s="1"/>
  <c r="Q19" i="5" s="1"/>
  <c r="M17" i="12"/>
  <c r="E19" i="5" s="1"/>
  <c r="J17" i="12"/>
  <c r="D19" i="5" s="1"/>
  <c r="G17" i="12"/>
  <c r="C19" i="5" s="1"/>
  <c r="D17" i="12"/>
  <c r="B19" i="5" s="1"/>
  <c r="AE16" i="12"/>
  <c r="K18" i="5" s="1"/>
  <c r="P18" i="5" s="1"/>
  <c r="AB16" i="12"/>
  <c r="J18" i="5" s="1"/>
  <c r="O18" i="5" s="1"/>
  <c r="Y16" i="12"/>
  <c r="I18" i="5" s="1"/>
  <c r="V16" i="12"/>
  <c r="H18" i="5" s="1"/>
  <c r="S16" i="12"/>
  <c r="G18" i="5" s="1"/>
  <c r="L18" i="5" s="1"/>
  <c r="P16" i="12"/>
  <c r="F18" i="5" s="1"/>
  <c r="M16" i="12"/>
  <c r="E18" i="5" s="1"/>
  <c r="J16" i="12"/>
  <c r="D18" i="5" s="1"/>
  <c r="N18" i="5" s="1"/>
  <c r="G16" i="12"/>
  <c r="C18" i="5" s="1"/>
  <c r="D16" i="12"/>
  <c r="B18" i="5" s="1"/>
  <c r="AE15" i="12"/>
  <c r="K17" i="5" s="1"/>
  <c r="AB15" i="12"/>
  <c r="J17" i="5" s="1"/>
  <c r="O17" i="5" s="1"/>
  <c r="Y15" i="12"/>
  <c r="I17" i="5" s="1"/>
  <c r="N17" i="5" s="1"/>
  <c r="V15" i="12"/>
  <c r="H17" i="5" s="1"/>
  <c r="S15" i="12"/>
  <c r="G17" i="5" s="1"/>
  <c r="P15" i="12"/>
  <c r="F17" i="5" s="1"/>
  <c r="M15" i="12"/>
  <c r="E17" i="5" s="1"/>
  <c r="J15" i="12"/>
  <c r="D17" i="5" s="1"/>
  <c r="G15" i="12"/>
  <c r="C17" i="5" s="1"/>
  <c r="D15" i="12"/>
  <c r="B17" i="5" s="1"/>
  <c r="AE14" i="12"/>
  <c r="K16" i="5" s="1"/>
  <c r="P16" i="5" s="1"/>
  <c r="AB14" i="12"/>
  <c r="J16" i="5" s="1"/>
  <c r="Y14" i="12"/>
  <c r="I16" i="5" s="1"/>
  <c r="N16" i="5" s="1"/>
  <c r="V14" i="12"/>
  <c r="H16" i="5" s="1"/>
  <c r="M16" i="5" s="1"/>
  <c r="S14" i="12"/>
  <c r="G16" i="5" s="1"/>
  <c r="P14" i="12"/>
  <c r="F16" i="5" s="1"/>
  <c r="M14" i="12"/>
  <c r="E16" i="5" s="1"/>
  <c r="J14" i="12"/>
  <c r="D16" i="5" s="1"/>
  <c r="G14" i="12"/>
  <c r="C16" i="5" s="1"/>
  <c r="D14" i="12"/>
  <c r="B16" i="5" s="1"/>
  <c r="AE13" i="12"/>
  <c r="K15" i="5" s="1"/>
  <c r="P15" i="5" s="1"/>
  <c r="AB13" i="12"/>
  <c r="J15" i="5" s="1"/>
  <c r="O15" i="5" s="1"/>
  <c r="Y13" i="12"/>
  <c r="I15" i="5" s="1"/>
  <c r="V13" i="12"/>
  <c r="H15" i="5" s="1"/>
  <c r="S13" i="12"/>
  <c r="G15" i="5" s="1"/>
  <c r="L15" i="5" s="1"/>
  <c r="P13" i="12"/>
  <c r="F15" i="5" s="1"/>
  <c r="M13" i="12"/>
  <c r="E15" i="5" s="1"/>
  <c r="J13" i="12"/>
  <c r="D15" i="5" s="1"/>
  <c r="G13" i="12"/>
  <c r="C15" i="5" s="1"/>
  <c r="D13" i="12"/>
  <c r="B15" i="5" s="1"/>
  <c r="AE12" i="12"/>
  <c r="K14" i="5" s="1"/>
  <c r="P14" i="5" s="1"/>
  <c r="AB12" i="12"/>
  <c r="J14" i="5" s="1"/>
  <c r="O14" i="5" s="1"/>
  <c r="Y12" i="12"/>
  <c r="I14" i="5" s="1"/>
  <c r="N14" i="5" s="1"/>
  <c r="V12" i="12"/>
  <c r="H14" i="5" s="1"/>
  <c r="S12" i="12"/>
  <c r="G14" i="5" s="1"/>
  <c r="P12" i="12"/>
  <c r="F14" i="5" s="1"/>
  <c r="M12" i="12"/>
  <c r="E14" i="5" s="1"/>
  <c r="J12" i="12"/>
  <c r="D14" i="5" s="1"/>
  <c r="G12" i="12"/>
  <c r="C14" i="5" s="1"/>
  <c r="D12" i="12"/>
  <c r="B14" i="5" s="1"/>
  <c r="AE11" i="12"/>
  <c r="K13" i="5" s="1"/>
  <c r="AB11" i="12"/>
  <c r="J13" i="5" s="1"/>
  <c r="O13" i="5" s="1"/>
  <c r="Y11" i="12"/>
  <c r="I13" i="5" s="1"/>
  <c r="N13" i="5" s="1"/>
  <c r="V11" i="12"/>
  <c r="H13" i="5" s="1"/>
  <c r="M13" i="5" s="1"/>
  <c r="S11" i="12"/>
  <c r="G13" i="5" s="1"/>
  <c r="P11" i="12"/>
  <c r="F13" i="5" s="1"/>
  <c r="M11" i="12"/>
  <c r="E13" i="5" s="1"/>
  <c r="J11" i="12"/>
  <c r="D13" i="5" s="1"/>
  <c r="G11" i="12"/>
  <c r="C13" i="5" s="1"/>
  <c r="D11" i="12"/>
  <c r="B13" i="5" s="1"/>
  <c r="AE10" i="12"/>
  <c r="K12" i="5" s="1"/>
  <c r="P12" i="5" s="1"/>
  <c r="AB10" i="12"/>
  <c r="J12" i="5" s="1"/>
  <c r="Y10" i="12"/>
  <c r="I12" i="5" s="1"/>
  <c r="N12" i="5" s="1"/>
  <c r="V10" i="12"/>
  <c r="H12" i="5" s="1"/>
  <c r="M12" i="5" s="1"/>
  <c r="S10" i="12"/>
  <c r="G12" i="5" s="1"/>
  <c r="L12" i="5" s="1"/>
  <c r="P10" i="12"/>
  <c r="F12" i="5" s="1"/>
  <c r="M10" i="12"/>
  <c r="E12" i="5" s="1"/>
  <c r="J10" i="12"/>
  <c r="D12" i="5" s="1"/>
  <c r="G10" i="12"/>
  <c r="C12" i="5" s="1"/>
  <c r="D10" i="12"/>
  <c r="B12" i="5" s="1"/>
  <c r="AE9" i="12"/>
  <c r="K11" i="5" s="1"/>
  <c r="Q11" i="5" s="1"/>
  <c r="AB9" i="12"/>
  <c r="J11" i="5" s="1"/>
  <c r="Y9" i="12"/>
  <c r="I11" i="5" s="1"/>
  <c r="N11" i="5" s="1"/>
  <c r="V9" i="12"/>
  <c r="H11" i="5" s="1"/>
  <c r="M11" i="5" s="1"/>
  <c r="S9" i="12"/>
  <c r="G11" i="5" s="1"/>
  <c r="P9" i="12"/>
  <c r="F11" i="5" s="1"/>
  <c r="M9" i="12"/>
  <c r="E11" i="5" s="1"/>
  <c r="J9" i="12"/>
  <c r="D11" i="5" s="1"/>
  <c r="G9" i="12"/>
  <c r="C11" i="5" s="1"/>
  <c r="D9" i="12"/>
  <c r="B11" i="5" s="1"/>
  <c r="L11" i="5" s="1"/>
  <c r="AB8" i="12"/>
  <c r="J10" i="5" s="1"/>
  <c r="Y8" i="12"/>
  <c r="I10" i="5" s="1"/>
  <c r="N10" i="5" s="1"/>
  <c r="V8" i="12"/>
  <c r="H10" i="5" s="1"/>
  <c r="S8" i="12"/>
  <c r="G10" i="5" s="1"/>
  <c r="L10" i="5" s="1"/>
  <c r="P8" i="12"/>
  <c r="F10" i="5" s="1"/>
  <c r="P10" i="5" s="1"/>
  <c r="M8" i="12"/>
  <c r="E10" i="5" s="1"/>
  <c r="J8" i="12"/>
  <c r="D10" i="5" s="1"/>
  <c r="G8" i="12"/>
  <c r="D8" i="12"/>
  <c r="B10" i="5" s="1"/>
  <c r="Q21" i="5" l="1"/>
  <c r="G34" i="12"/>
  <c r="C36" i="5" s="1"/>
  <c r="C10" i="5"/>
  <c r="Q20" i="5"/>
  <c r="Q28" i="5"/>
  <c r="AE34" i="12"/>
  <c r="K36" i="5" s="1"/>
  <c r="S34" i="12"/>
  <c r="G36" i="5" s="1"/>
  <c r="O12" i="5"/>
  <c r="P13" i="5"/>
  <c r="O23" i="5"/>
  <c r="L24" i="5"/>
  <c r="P24" i="5"/>
  <c r="M25" i="5"/>
  <c r="N26" i="5"/>
  <c r="O33" i="5"/>
  <c r="L34" i="5"/>
  <c r="M35" i="5"/>
  <c r="M10" i="5"/>
  <c r="O16" i="5"/>
  <c r="L17" i="5"/>
  <c r="P17" i="5"/>
  <c r="M18" i="5"/>
  <c r="N19" i="5"/>
  <c r="O27" i="5"/>
  <c r="L28" i="5"/>
  <c r="M29" i="5"/>
  <c r="O11" i="5"/>
  <c r="L13" i="5"/>
  <c r="M14" i="5"/>
  <c r="N15" i="5"/>
  <c r="J34" i="12"/>
  <c r="D36" i="5" s="1"/>
  <c r="V34" i="12"/>
  <c r="H36" i="5" s="1"/>
  <c r="D34" i="12"/>
  <c r="B36" i="5" s="1"/>
  <c r="P34" i="12"/>
  <c r="F36" i="5" s="1"/>
  <c r="AB34" i="12"/>
  <c r="J36" i="5" s="1"/>
  <c r="O36" i="5" s="1"/>
  <c r="M34" i="12"/>
  <c r="E36" i="5" s="1"/>
  <c r="Y34" i="12"/>
  <c r="I36" i="5" s="1"/>
  <c r="N36" i="5" l="1"/>
  <c r="E37" i="5"/>
  <c r="H37" i="5"/>
  <c r="M36" i="5"/>
  <c r="J37" i="5"/>
  <c r="O37" i="5" s="1"/>
  <c r="D37" i="5"/>
  <c r="C37" i="5"/>
  <c r="F37" i="5"/>
  <c r="P36" i="5"/>
  <c r="I37" i="5"/>
  <c r="N37" i="5" s="1"/>
  <c r="L36" i="5"/>
  <c r="AR7" i="3"/>
  <c r="AS7" i="3"/>
  <c r="AX7" i="3"/>
  <c r="AY7" i="3"/>
  <c r="M37" i="5" l="1"/>
  <c r="P37" i="5"/>
  <c r="P33" i="3"/>
  <c r="Q33" i="3"/>
  <c r="R33" i="3"/>
  <c r="L33" i="3"/>
  <c r="M33" i="3"/>
  <c r="N33" i="3"/>
  <c r="O7" i="3"/>
  <c r="AZ7" i="3" s="1"/>
  <c r="S7" i="3"/>
  <c r="BA7" i="3" s="1"/>
  <c r="X7" i="3"/>
  <c r="AC7" i="3"/>
  <c r="BB7" i="3" l="1"/>
  <c r="AL7" i="3"/>
  <c r="AK7" i="3"/>
  <c r="AM7" i="3" s="1"/>
  <c r="P141" i="1"/>
  <c r="E123" i="1"/>
  <c r="P111" i="1"/>
  <c r="AB111" i="1" s="1"/>
  <c r="Q111" i="1"/>
  <c r="S111" i="1"/>
  <c r="T111" i="1"/>
  <c r="U111" i="1"/>
  <c r="V111" i="1"/>
  <c r="W111" i="1"/>
  <c r="AC111" i="1" s="1"/>
  <c r="Y111" i="1"/>
  <c r="Z111" i="1"/>
  <c r="AA111" i="1"/>
  <c r="L111" i="1"/>
  <c r="X111" i="1" s="1"/>
  <c r="E111" i="1"/>
  <c r="R111" i="1" s="1"/>
  <c r="L104" i="1"/>
  <c r="L103" i="1" s="1"/>
  <c r="X103" i="1" s="1"/>
  <c r="L101" i="1"/>
  <c r="L97" i="1"/>
  <c r="L96" i="1" s="1"/>
  <c r="X96" i="1" s="1"/>
  <c r="L95" i="1"/>
  <c r="L94" i="1" s="1"/>
  <c r="X94" i="1" s="1"/>
  <c r="L93" i="1"/>
  <c r="L92" i="1" s="1"/>
  <c r="X92" i="1" s="1"/>
  <c r="E104" i="1"/>
  <c r="E103" i="1" s="1"/>
  <c r="R103" i="1" s="1"/>
  <c r="E101" i="1"/>
  <c r="E100" i="1" s="1"/>
  <c r="R100" i="1" s="1"/>
  <c r="E97" i="1"/>
  <c r="E96" i="1" s="1"/>
  <c r="R96" i="1" s="1"/>
  <c r="E95" i="1"/>
  <c r="E94" i="1" s="1"/>
  <c r="R94" i="1" s="1"/>
  <c r="E93" i="1"/>
  <c r="E92" i="1" s="1"/>
  <c r="R92" i="1" s="1"/>
  <c r="V93" i="1"/>
  <c r="U93" i="1"/>
  <c r="T93" i="1"/>
  <c r="AA104" i="1"/>
  <c r="Z104" i="1"/>
  <c r="W104" i="1"/>
  <c r="V104" i="1"/>
  <c r="U104" i="1"/>
  <c r="T104" i="1"/>
  <c r="Q104" i="1"/>
  <c r="P104" i="1"/>
  <c r="AA103" i="1"/>
  <c r="Z103" i="1"/>
  <c r="Y103" i="1"/>
  <c r="W103" i="1"/>
  <c r="V103" i="1"/>
  <c r="U103" i="1"/>
  <c r="T103" i="1"/>
  <c r="S103" i="1"/>
  <c r="Q103" i="1"/>
  <c r="P103" i="1"/>
  <c r="AA101" i="1"/>
  <c r="Z101" i="1"/>
  <c r="W101" i="1"/>
  <c r="V101" i="1"/>
  <c r="U101" i="1"/>
  <c r="T101" i="1"/>
  <c r="Q101" i="1"/>
  <c r="P101" i="1"/>
  <c r="AA100" i="1"/>
  <c r="Z100" i="1"/>
  <c r="Y100" i="1"/>
  <c r="W100" i="1"/>
  <c r="V100" i="1"/>
  <c r="U100" i="1"/>
  <c r="T100" i="1"/>
  <c r="S100" i="1"/>
  <c r="Q100" i="1"/>
  <c r="AC100" i="1" s="1"/>
  <c r="P100" i="1"/>
  <c r="AA102" i="1"/>
  <c r="Z102" i="1"/>
  <c r="Y102" i="1"/>
  <c r="W102" i="1"/>
  <c r="V102" i="1"/>
  <c r="U102" i="1"/>
  <c r="T102" i="1"/>
  <c r="S102" i="1"/>
  <c r="Q102" i="1"/>
  <c r="P102" i="1"/>
  <c r="AA99" i="1"/>
  <c r="Z99" i="1"/>
  <c r="Y99" i="1"/>
  <c r="W99" i="1"/>
  <c r="V99" i="1"/>
  <c r="U99" i="1"/>
  <c r="T99" i="1"/>
  <c r="S99" i="1"/>
  <c r="Q99" i="1"/>
  <c r="P99" i="1"/>
  <c r="AA98" i="1"/>
  <c r="Z98" i="1"/>
  <c r="Y98" i="1"/>
  <c r="W98" i="1"/>
  <c r="V98" i="1"/>
  <c r="U98" i="1"/>
  <c r="T98" i="1"/>
  <c r="S98" i="1"/>
  <c r="Q98" i="1"/>
  <c r="P98" i="1"/>
  <c r="AA97" i="1"/>
  <c r="Z97" i="1"/>
  <c r="W97" i="1"/>
  <c r="V97" i="1"/>
  <c r="U97" i="1"/>
  <c r="T97" i="1"/>
  <c r="Q97" i="1"/>
  <c r="P97" i="1"/>
  <c r="AA96" i="1"/>
  <c r="Z96" i="1"/>
  <c r="Y96" i="1"/>
  <c r="W96" i="1"/>
  <c r="V96" i="1"/>
  <c r="U96" i="1"/>
  <c r="T96" i="1"/>
  <c r="S96" i="1"/>
  <c r="Q96" i="1"/>
  <c r="P96" i="1"/>
  <c r="AA95" i="1"/>
  <c r="Z95" i="1"/>
  <c r="W95" i="1"/>
  <c r="V95" i="1"/>
  <c r="U95" i="1"/>
  <c r="T95" i="1"/>
  <c r="Q95" i="1"/>
  <c r="P95" i="1"/>
  <c r="AA94" i="1"/>
  <c r="Z94" i="1"/>
  <c r="Y94" i="1"/>
  <c r="W94" i="1"/>
  <c r="V94" i="1"/>
  <c r="U94" i="1"/>
  <c r="T94" i="1"/>
  <c r="S94" i="1"/>
  <c r="Q94" i="1"/>
  <c r="P94" i="1"/>
  <c r="AA93" i="1"/>
  <c r="Z93" i="1"/>
  <c r="W93" i="1"/>
  <c r="Q93" i="1"/>
  <c r="P93" i="1"/>
  <c r="AA92" i="1"/>
  <c r="Z92" i="1"/>
  <c r="Y92" i="1"/>
  <c r="W92" i="1"/>
  <c r="V92" i="1"/>
  <c r="U92" i="1"/>
  <c r="T92" i="1"/>
  <c r="S92" i="1"/>
  <c r="Q92" i="1"/>
  <c r="P92" i="1"/>
  <c r="L102" i="1"/>
  <c r="X102" i="1" s="1"/>
  <c r="L100" i="1"/>
  <c r="X100" i="1" s="1"/>
  <c r="L99" i="1"/>
  <c r="X99" i="1" s="1"/>
  <c r="L98" i="1"/>
  <c r="X98" i="1" s="1"/>
  <c r="E102" i="1"/>
  <c r="R102" i="1" s="1"/>
  <c r="E99" i="1"/>
  <c r="R99" i="1" s="1"/>
  <c r="E98" i="1"/>
  <c r="R98" i="1" s="1"/>
  <c r="AB99" i="1" l="1"/>
  <c r="AE103" i="1"/>
  <c r="AG103" i="1"/>
  <c r="AC98" i="1"/>
  <c r="AC92" i="1"/>
  <c r="AB98" i="1"/>
  <c r="AF94" i="1"/>
  <c r="AC103" i="1"/>
  <c r="AB101" i="1"/>
  <c r="AC96" i="1"/>
  <c r="AF99" i="1"/>
  <c r="AC99" i="1"/>
  <c r="AB100" i="1"/>
  <c r="AG100" i="1"/>
  <c r="AF103" i="1"/>
  <c r="AB103" i="1"/>
  <c r="AF104" i="1"/>
  <c r="AB104" i="1"/>
  <c r="AC104" i="1"/>
  <c r="AB102" i="1"/>
  <c r="AC102" i="1"/>
  <c r="AF100" i="1"/>
  <c r="AE100" i="1"/>
  <c r="AF101" i="1"/>
  <c r="AC101" i="1"/>
  <c r="AD99" i="1"/>
  <c r="AF97" i="1"/>
  <c r="AC97" i="1"/>
  <c r="AB97" i="1"/>
  <c r="AB96" i="1"/>
  <c r="AF96" i="1"/>
  <c r="AE96" i="1"/>
  <c r="AE94" i="1"/>
  <c r="AB94" i="1"/>
  <c r="AC94" i="1"/>
  <c r="AF95" i="1"/>
  <c r="AC95" i="1"/>
  <c r="AB95" i="1"/>
  <c r="AG92" i="1"/>
  <c r="AE92" i="1"/>
  <c r="AF92" i="1"/>
  <c r="AD92" i="1"/>
  <c r="AD103" i="1"/>
  <c r="AD100" i="1"/>
  <c r="AD96" i="1"/>
  <c r="AD94" i="1"/>
  <c r="AF93" i="1"/>
  <c r="AC93" i="1"/>
  <c r="AB93" i="1"/>
  <c r="AB92" i="1"/>
  <c r="AH55" i="1" l="1"/>
  <c r="E27" i="1" l="1"/>
  <c r="L12" i="1"/>
  <c r="T130" i="6" l="1"/>
  <c r="U91" i="6" l="1"/>
  <c r="E9" i="11" l="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F8" i="11"/>
  <c r="E8" i="1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C8" i="11"/>
  <c r="B8" i="11"/>
  <c r="DT33" i="3"/>
  <c r="DU33" i="3"/>
  <c r="DV33" i="3"/>
  <c r="DW33" i="3"/>
  <c r="L16" i="11" l="1"/>
  <c r="I16" i="11"/>
  <c r="I12" i="11"/>
  <c r="D12" i="11"/>
  <c r="G31" i="11"/>
  <c r="D33" i="11"/>
  <c r="D25" i="11"/>
  <c r="D21" i="11"/>
  <c r="D17" i="11"/>
  <c r="I27" i="11"/>
  <c r="I11" i="11"/>
  <c r="D32" i="11"/>
  <c r="D20" i="11"/>
  <c r="D16" i="11"/>
  <c r="H31" i="11"/>
  <c r="H29" i="11"/>
  <c r="D28" i="11"/>
  <c r="D26" i="11"/>
  <c r="D10" i="11"/>
  <c r="I10" i="11"/>
  <c r="D9" i="11"/>
  <c r="H30" i="11"/>
  <c r="I24" i="11"/>
  <c r="I22" i="11"/>
  <c r="G20" i="11"/>
  <c r="I20" i="11"/>
  <c r="I18" i="11"/>
  <c r="I14" i="11"/>
  <c r="L12" i="11"/>
  <c r="D27" i="11"/>
  <c r="I31" i="11"/>
  <c r="H28" i="11"/>
  <c r="H26" i="11"/>
  <c r="H24" i="11"/>
  <c r="H22" i="11"/>
  <c r="H20" i="11"/>
  <c r="H18" i="11"/>
  <c r="K16" i="11"/>
  <c r="H16" i="11"/>
  <c r="H14" i="11"/>
  <c r="G12" i="11"/>
  <c r="J12" i="11" s="1"/>
  <c r="H12" i="11"/>
  <c r="H10" i="11"/>
  <c r="B34" i="11"/>
  <c r="I32" i="11"/>
  <c r="I25" i="11"/>
  <c r="I23" i="11"/>
  <c r="I21" i="11"/>
  <c r="I19" i="11"/>
  <c r="L17" i="11"/>
  <c r="I17" i="11"/>
  <c r="I15" i="11"/>
  <c r="I13" i="11"/>
  <c r="I9" i="11"/>
  <c r="D11" i="11"/>
  <c r="I8" i="11"/>
  <c r="K32" i="11"/>
  <c r="H32" i="11"/>
  <c r="I30" i="11"/>
  <c r="G28" i="11"/>
  <c r="H27" i="11"/>
  <c r="H25" i="11"/>
  <c r="H23" i="11"/>
  <c r="H21" i="11"/>
  <c r="H19" i="11"/>
  <c r="H17" i="11"/>
  <c r="H15" i="11"/>
  <c r="H13" i="11"/>
  <c r="H11" i="11"/>
  <c r="H9" i="11"/>
  <c r="G23" i="11"/>
  <c r="G15" i="11"/>
  <c r="D19" i="11"/>
  <c r="K24" i="11"/>
  <c r="D18" i="11"/>
  <c r="H8" i="11"/>
  <c r="D29" i="11"/>
  <c r="D24" i="11"/>
  <c r="D13" i="11"/>
  <c r="E34" i="11"/>
  <c r="L25" i="11"/>
  <c r="L20" i="11"/>
  <c r="G16" i="11"/>
  <c r="L9" i="11"/>
  <c r="C34" i="11"/>
  <c r="C38" i="11" s="1"/>
  <c r="G30" i="11"/>
  <c r="L30" i="11"/>
  <c r="L27" i="11"/>
  <c r="L11" i="11"/>
  <c r="D22" i="11"/>
  <c r="G25" i="11"/>
  <c r="K25" i="11"/>
  <c r="K22" i="11"/>
  <c r="K19" i="11"/>
  <c r="G9" i="11"/>
  <c r="K9" i="11"/>
  <c r="D31" i="11"/>
  <c r="D23" i="11"/>
  <c r="D15" i="11"/>
  <c r="L8" i="11"/>
  <c r="G32" i="11"/>
  <c r="L31" i="11"/>
  <c r="K28" i="11"/>
  <c r="G26" i="11"/>
  <c r="G24" i="11"/>
  <c r="L23" i="11"/>
  <c r="L21" i="11"/>
  <c r="K20" i="11"/>
  <c r="G18" i="11"/>
  <c r="L18" i="11"/>
  <c r="L15" i="11"/>
  <c r="L13" i="11"/>
  <c r="K12" i="11"/>
  <c r="G10" i="11"/>
  <c r="L10" i="11"/>
  <c r="G22" i="11"/>
  <c r="L22" i="11"/>
  <c r="L19" i="11"/>
  <c r="G14" i="11"/>
  <c r="L14" i="11"/>
  <c r="D30" i="11"/>
  <c r="D14" i="11"/>
  <c r="K8" i="11"/>
  <c r="G33" i="11"/>
  <c r="K33" i="11"/>
  <c r="K30" i="11"/>
  <c r="K27" i="11"/>
  <c r="G17" i="11"/>
  <c r="K17" i="11"/>
  <c r="K14" i="11"/>
  <c r="K11" i="11"/>
  <c r="D8" i="11"/>
  <c r="G8" i="11"/>
  <c r="L32" i="11"/>
  <c r="K31" i="11"/>
  <c r="G29" i="11"/>
  <c r="K29" i="11"/>
  <c r="G27" i="11"/>
  <c r="K26" i="11"/>
  <c r="L24" i="11"/>
  <c r="K23" i="11"/>
  <c r="G21" i="11"/>
  <c r="K21" i="11"/>
  <c r="G19" i="11"/>
  <c r="K18" i="11"/>
  <c r="K15" i="11"/>
  <c r="G13" i="11"/>
  <c r="K13" i="11"/>
  <c r="G11" i="11"/>
  <c r="K10" i="11"/>
  <c r="F34" i="11"/>
  <c r="F38" i="11" s="1"/>
  <c r="J16" i="11" l="1"/>
  <c r="E37" i="11"/>
  <c r="E38" i="11" s="1"/>
  <c r="E39" i="11"/>
  <c r="J9" i="11"/>
  <c r="J25" i="11"/>
  <c r="J27" i="11"/>
  <c r="J18" i="11"/>
  <c r="L34" i="11"/>
  <c r="J22" i="11"/>
  <c r="J26" i="11"/>
  <c r="K34" i="11"/>
  <c r="J28" i="11"/>
  <c r="I34" i="11"/>
  <c r="J19" i="11"/>
  <c r="J29" i="11"/>
  <c r="J33" i="11"/>
  <c r="J21" i="11"/>
  <c r="J20" i="11"/>
  <c r="J31" i="11"/>
  <c r="J32" i="11"/>
  <c r="J17" i="11"/>
  <c r="J13" i="11"/>
  <c r="J23" i="11"/>
  <c r="J30" i="11"/>
  <c r="J11" i="11"/>
  <c r="J10" i="11"/>
  <c r="J15" i="11"/>
  <c r="J14" i="11"/>
  <c r="D34" i="11"/>
  <c r="H34" i="11"/>
  <c r="J8" i="11"/>
  <c r="J24" i="11"/>
  <c r="G34" i="11"/>
  <c r="J34" i="11" l="1"/>
  <c r="U36" i="6"/>
  <c r="K49" i="6"/>
  <c r="L49" i="6"/>
  <c r="M49" i="6"/>
  <c r="K50" i="6"/>
  <c r="L50" i="6"/>
  <c r="M50" i="6"/>
  <c r="K41" i="7" l="1"/>
  <c r="J41" i="7"/>
  <c r="G41" i="7"/>
  <c r="F41" i="7"/>
  <c r="E41" i="7"/>
  <c r="D41" i="7"/>
  <c r="C41" i="7"/>
  <c r="B41" i="7"/>
  <c r="F40" i="7"/>
  <c r="B40" i="7"/>
  <c r="J42" i="7" l="1"/>
  <c r="J40" i="7"/>
  <c r="D42" i="7"/>
  <c r="B42" i="7"/>
  <c r="R167" i="6"/>
  <c r="R130" i="6"/>
  <c r="Q130" i="6"/>
  <c r="N129" i="6"/>
  <c r="O129" i="6"/>
  <c r="P129" i="6"/>
  <c r="O112" i="6"/>
  <c r="N112" i="6"/>
  <c r="K107" i="6"/>
  <c r="L107" i="6"/>
  <c r="M107" i="6"/>
  <c r="D40" i="7" l="1"/>
  <c r="K40" i="7"/>
  <c r="E42" i="7"/>
  <c r="C42" i="7"/>
  <c r="C40" i="7"/>
  <c r="K42" i="7"/>
  <c r="F42" i="7"/>
  <c r="G40" i="7"/>
  <c r="S82" i="6"/>
  <c r="Q63" i="6"/>
  <c r="Q65" i="6"/>
  <c r="R65" i="6"/>
  <c r="Q53" i="6"/>
  <c r="R53" i="6"/>
  <c r="S53" i="6"/>
  <c r="Q54" i="6"/>
  <c r="R54" i="6"/>
  <c r="Q56" i="6"/>
  <c r="R56" i="6"/>
  <c r="Q58" i="6"/>
  <c r="R58" i="6"/>
  <c r="Q59" i="6"/>
  <c r="R59" i="6"/>
  <c r="Q61" i="6"/>
  <c r="R61" i="6"/>
  <c r="Q66" i="6"/>
  <c r="R66" i="6"/>
  <c r="Q69" i="6"/>
  <c r="R69" i="6"/>
  <c r="Q73" i="6"/>
  <c r="R73" i="6"/>
  <c r="Q75" i="6"/>
  <c r="R75" i="6"/>
  <c r="Q77" i="6"/>
  <c r="S77" i="6"/>
  <c r="Q79" i="6"/>
  <c r="R79" i="6"/>
  <c r="S79" i="6"/>
  <c r="Q80" i="6"/>
  <c r="R80" i="6"/>
  <c r="Q82" i="6"/>
  <c r="R82" i="6"/>
  <c r="Q84" i="6"/>
  <c r="Q86" i="6"/>
  <c r="R86" i="6"/>
  <c r="Q87" i="6"/>
  <c r="R87" i="6"/>
  <c r="Q89" i="6"/>
  <c r="R89" i="6"/>
  <c r="Q91" i="6"/>
  <c r="R91" i="6"/>
  <c r="Q92" i="6"/>
  <c r="R92" i="6"/>
  <c r="Q95" i="6"/>
  <c r="R95" i="6"/>
  <c r="Q97" i="6"/>
  <c r="R97" i="6"/>
  <c r="Q99" i="6"/>
  <c r="R99" i="6"/>
  <c r="Q101" i="6"/>
  <c r="R101" i="6"/>
  <c r="Q105" i="6"/>
  <c r="R105" i="6"/>
  <c r="S105" i="6"/>
  <c r="Q106" i="6"/>
  <c r="S106" i="6"/>
  <c r="Q108" i="6"/>
  <c r="R108" i="6"/>
  <c r="Q110" i="6"/>
  <c r="R110" i="6"/>
  <c r="Q114" i="6"/>
  <c r="R114" i="6"/>
  <c r="Q115" i="6"/>
  <c r="R115" i="6"/>
  <c r="S115" i="6"/>
  <c r="Q116" i="6"/>
  <c r="R116" i="6"/>
  <c r="Q118" i="6"/>
  <c r="R118" i="6"/>
  <c r="Q119" i="6"/>
  <c r="R119" i="6"/>
  <c r="E40" i="7" l="1"/>
  <c r="G42" i="7"/>
  <c r="N170" i="6"/>
  <c r="O170" i="6"/>
  <c r="P170" i="6"/>
  <c r="N171" i="6"/>
  <c r="O171" i="6"/>
  <c r="P171" i="6"/>
  <c r="Q171" i="6"/>
  <c r="R171" i="6"/>
  <c r="S171" i="6"/>
  <c r="S119" i="6"/>
  <c r="S116" i="6"/>
  <c r="S110" i="6"/>
  <c r="S101" i="6"/>
  <c r="S99" i="6"/>
  <c r="S97" i="6"/>
  <c r="S95" i="6"/>
  <c r="N101" i="6"/>
  <c r="O101" i="6"/>
  <c r="S92" i="6"/>
  <c r="S91" i="6"/>
  <c r="S89" i="6"/>
  <c r="S87" i="6"/>
  <c r="S84" i="6"/>
  <c r="S80" i="6"/>
  <c r="Q128" i="6"/>
  <c r="R128" i="6"/>
  <c r="K121" i="6"/>
  <c r="L121" i="6"/>
  <c r="M121" i="6"/>
  <c r="K126" i="6"/>
  <c r="L126" i="6"/>
  <c r="M126" i="6"/>
  <c r="R94" i="6"/>
  <c r="R78" i="6"/>
  <c r="Q71" i="6"/>
  <c r="S75" i="6"/>
  <c r="S73" i="6"/>
  <c r="S69" i="6"/>
  <c r="S59" i="6"/>
  <c r="S54" i="6"/>
  <c r="S108" i="6" l="1"/>
  <c r="Q78" i="6"/>
  <c r="Q94" i="6"/>
  <c r="R71" i="6"/>
  <c r="S103" i="6"/>
  <c r="R103" i="6"/>
  <c r="Q103" i="6"/>
  <c r="S94" i="6"/>
  <c r="S71" i="6"/>
  <c r="P101" i="6"/>
  <c r="S78" i="6"/>
  <c r="S66" i="6" l="1"/>
  <c r="S63" i="6"/>
  <c r="P64" i="6"/>
  <c r="O64" i="6"/>
  <c r="N64" i="6"/>
  <c r="S61" i="6"/>
  <c r="S56" i="6"/>
  <c r="R31" i="6" l="1"/>
  <c r="Q31" i="6"/>
  <c r="S172" i="6" l="1"/>
  <c r="R172" i="6"/>
  <c r="Q172" i="6"/>
  <c r="P172" i="6"/>
  <c r="O172" i="6"/>
  <c r="N172" i="6"/>
  <c r="S169" i="6"/>
  <c r="R169" i="6"/>
  <c r="Q169" i="6"/>
  <c r="P169" i="6"/>
  <c r="O169" i="6"/>
  <c r="N169" i="6"/>
  <c r="R168" i="6"/>
  <c r="Q168" i="6"/>
  <c r="P168" i="6"/>
  <c r="O168" i="6"/>
  <c r="N168" i="6"/>
  <c r="S167" i="6"/>
  <c r="Q167" i="6"/>
  <c r="P167" i="6"/>
  <c r="O167" i="6"/>
  <c r="N167" i="6"/>
  <c r="S166" i="6"/>
  <c r="R166" i="6"/>
  <c r="Q166" i="6"/>
  <c r="P166" i="6"/>
  <c r="O166" i="6"/>
  <c r="N166" i="6"/>
  <c r="M165" i="6"/>
  <c r="L165" i="6"/>
  <c r="K165" i="6"/>
  <c r="R163" i="6"/>
  <c r="O163" i="6"/>
  <c r="R162" i="6"/>
  <c r="O162" i="6"/>
  <c r="R161" i="6"/>
  <c r="O161" i="6"/>
  <c r="M160" i="6"/>
  <c r="L160" i="6"/>
  <c r="K160" i="6"/>
  <c r="S159" i="6"/>
  <c r="R159" i="6"/>
  <c r="Q159" i="6"/>
  <c r="P159" i="6"/>
  <c r="O159" i="6"/>
  <c r="N159" i="6"/>
  <c r="M158" i="6"/>
  <c r="L158" i="6"/>
  <c r="K158" i="6"/>
  <c r="R157" i="6"/>
  <c r="Q157" i="6"/>
  <c r="P157" i="6"/>
  <c r="O157" i="6"/>
  <c r="N157" i="6"/>
  <c r="S156" i="6"/>
  <c r="R156" i="6"/>
  <c r="Q156" i="6"/>
  <c r="P156" i="6"/>
  <c r="O156" i="6"/>
  <c r="N156" i="6"/>
  <c r="P155" i="6"/>
  <c r="O155" i="6"/>
  <c r="N155" i="6"/>
  <c r="S152" i="6"/>
  <c r="Q152" i="6"/>
  <c r="P152" i="6"/>
  <c r="O152" i="6"/>
  <c r="N152" i="6"/>
  <c r="S150" i="6"/>
  <c r="R150" i="6"/>
  <c r="Q150" i="6"/>
  <c r="P150" i="6"/>
  <c r="O150" i="6"/>
  <c r="N150" i="6"/>
  <c r="S148" i="6"/>
  <c r="R148" i="6"/>
  <c r="Q148" i="6"/>
  <c r="P148" i="6"/>
  <c r="O148" i="6"/>
  <c r="N148" i="6"/>
  <c r="S146" i="6"/>
  <c r="Q146" i="6"/>
  <c r="P146" i="6"/>
  <c r="O146" i="6"/>
  <c r="N146" i="6"/>
  <c r="S143" i="6"/>
  <c r="R143" i="6"/>
  <c r="Q143" i="6"/>
  <c r="P143" i="6"/>
  <c r="O143" i="6"/>
  <c r="N143" i="6"/>
  <c r="S141" i="6"/>
  <c r="R141" i="6"/>
  <c r="Q141" i="6"/>
  <c r="P141" i="6"/>
  <c r="O141" i="6"/>
  <c r="N141" i="6"/>
  <c r="S139" i="6"/>
  <c r="Q139" i="6"/>
  <c r="P139" i="6"/>
  <c r="O139" i="6"/>
  <c r="N139" i="6"/>
  <c r="S138" i="6"/>
  <c r="R138" i="6"/>
  <c r="Q138" i="6"/>
  <c r="P138" i="6"/>
  <c r="O138" i="6"/>
  <c r="N138" i="6"/>
  <c r="S136" i="6"/>
  <c r="R136" i="6"/>
  <c r="Q136" i="6"/>
  <c r="P136" i="6"/>
  <c r="O136" i="6"/>
  <c r="N136" i="6"/>
  <c r="S134" i="6"/>
  <c r="R134" i="6"/>
  <c r="Q134" i="6"/>
  <c r="P134" i="6"/>
  <c r="O134" i="6"/>
  <c r="N134" i="6"/>
  <c r="P133" i="6"/>
  <c r="O133" i="6"/>
  <c r="N133" i="6"/>
  <c r="R132" i="6"/>
  <c r="Q132" i="6"/>
  <c r="P132" i="6"/>
  <c r="O132" i="6"/>
  <c r="N132" i="6"/>
  <c r="R131" i="6"/>
  <c r="Q131" i="6"/>
  <c r="P131" i="6"/>
  <c r="O131" i="6"/>
  <c r="N131" i="6"/>
  <c r="P130" i="6"/>
  <c r="O130" i="6"/>
  <c r="N130" i="6"/>
  <c r="P128" i="6"/>
  <c r="O128" i="6"/>
  <c r="N128" i="6"/>
  <c r="R127" i="6"/>
  <c r="Q127" i="6"/>
  <c r="P127" i="6"/>
  <c r="O127" i="6"/>
  <c r="N127" i="6"/>
  <c r="S124" i="6"/>
  <c r="R124" i="6"/>
  <c r="Q124" i="6"/>
  <c r="P124" i="6"/>
  <c r="O124" i="6"/>
  <c r="N124" i="6"/>
  <c r="S122" i="6"/>
  <c r="R122" i="6"/>
  <c r="Q122" i="6"/>
  <c r="P122" i="6"/>
  <c r="O122" i="6"/>
  <c r="N122" i="6"/>
  <c r="P119" i="6"/>
  <c r="O119" i="6"/>
  <c r="N119" i="6"/>
  <c r="P118" i="6"/>
  <c r="O118" i="6"/>
  <c r="N118" i="6"/>
  <c r="P116" i="6"/>
  <c r="O116" i="6"/>
  <c r="N116" i="6"/>
  <c r="P115" i="6"/>
  <c r="O115" i="6"/>
  <c r="N115" i="6"/>
  <c r="P114" i="6"/>
  <c r="O114" i="6"/>
  <c r="N114" i="6"/>
  <c r="P110" i="6"/>
  <c r="O110" i="6"/>
  <c r="N110" i="6"/>
  <c r="P108" i="6"/>
  <c r="O108" i="6"/>
  <c r="N108" i="6"/>
  <c r="S107" i="6"/>
  <c r="R107" i="6"/>
  <c r="Q107" i="6"/>
  <c r="P106" i="6"/>
  <c r="O106" i="6"/>
  <c r="N106" i="6"/>
  <c r="P105" i="6"/>
  <c r="O105" i="6"/>
  <c r="N105" i="6"/>
  <c r="P104" i="6"/>
  <c r="O104" i="6"/>
  <c r="N104" i="6"/>
  <c r="P99" i="6"/>
  <c r="O99" i="6"/>
  <c r="N99" i="6"/>
  <c r="P97" i="6"/>
  <c r="O97" i="6"/>
  <c r="N97" i="6"/>
  <c r="P95" i="6"/>
  <c r="O95" i="6"/>
  <c r="N95" i="6"/>
  <c r="P92" i="6"/>
  <c r="O92" i="6"/>
  <c r="N92" i="6"/>
  <c r="P91" i="6"/>
  <c r="O91" i="6"/>
  <c r="N91" i="6"/>
  <c r="P89" i="6"/>
  <c r="O89" i="6"/>
  <c r="N89" i="6"/>
  <c r="P87" i="6"/>
  <c r="O87" i="6"/>
  <c r="N87" i="6"/>
  <c r="P86" i="6"/>
  <c r="O86" i="6"/>
  <c r="N86" i="6"/>
  <c r="P84" i="6"/>
  <c r="O84" i="6"/>
  <c r="N84" i="6"/>
  <c r="P82" i="6"/>
  <c r="O82" i="6"/>
  <c r="N82" i="6"/>
  <c r="P80" i="6"/>
  <c r="O80" i="6"/>
  <c r="N80" i="6"/>
  <c r="P79" i="6"/>
  <c r="O79" i="6"/>
  <c r="N79" i="6"/>
  <c r="P77" i="6"/>
  <c r="O77" i="6"/>
  <c r="N77" i="6"/>
  <c r="P75" i="6"/>
  <c r="O75" i="6"/>
  <c r="N75" i="6"/>
  <c r="P73" i="6"/>
  <c r="O73" i="6"/>
  <c r="N73" i="6"/>
  <c r="P72" i="6"/>
  <c r="O72" i="6"/>
  <c r="N72" i="6"/>
  <c r="M71" i="6"/>
  <c r="L71" i="6"/>
  <c r="K71" i="6"/>
  <c r="P69" i="6"/>
  <c r="O69" i="6"/>
  <c r="N69" i="6"/>
  <c r="S68" i="6"/>
  <c r="R68" i="6"/>
  <c r="Q68" i="6"/>
  <c r="P66" i="6"/>
  <c r="O66" i="6"/>
  <c r="N66" i="6"/>
  <c r="P65" i="6"/>
  <c r="O65" i="6"/>
  <c r="N65" i="6"/>
  <c r="P63" i="6"/>
  <c r="O63" i="6"/>
  <c r="N63" i="6"/>
  <c r="P61" i="6"/>
  <c r="O61" i="6"/>
  <c r="N61" i="6"/>
  <c r="P59" i="6"/>
  <c r="O59" i="6"/>
  <c r="N59" i="6"/>
  <c r="P58" i="6"/>
  <c r="O58" i="6"/>
  <c r="N58" i="6"/>
  <c r="P56" i="6"/>
  <c r="O56" i="6"/>
  <c r="N56" i="6"/>
  <c r="P54" i="6"/>
  <c r="O54" i="6"/>
  <c r="N54" i="6"/>
  <c r="P53" i="6"/>
  <c r="O53" i="6"/>
  <c r="N53" i="6"/>
  <c r="J50" i="6"/>
  <c r="I50" i="6"/>
  <c r="H50" i="6"/>
  <c r="G50" i="6"/>
  <c r="F50" i="6"/>
  <c r="E50" i="6"/>
  <c r="D50" i="6"/>
  <c r="C50" i="6"/>
  <c r="B50" i="6"/>
  <c r="J49" i="6"/>
  <c r="I49" i="6"/>
  <c r="H49" i="6"/>
  <c r="G49" i="6"/>
  <c r="F49" i="6"/>
  <c r="E49" i="6"/>
  <c r="D49" i="6"/>
  <c r="C49" i="6"/>
  <c r="B49" i="6"/>
  <c r="S48" i="6"/>
  <c r="R48" i="6"/>
  <c r="Q48" i="6"/>
  <c r="P48" i="6"/>
  <c r="O48" i="6"/>
  <c r="N48" i="6"/>
  <c r="S47" i="6"/>
  <c r="R47" i="6"/>
  <c r="Q47" i="6"/>
  <c r="P47" i="6"/>
  <c r="O47" i="6"/>
  <c r="N47" i="6"/>
  <c r="S46" i="6"/>
  <c r="R46" i="6"/>
  <c r="Q46" i="6"/>
  <c r="P46" i="6"/>
  <c r="O46" i="6"/>
  <c r="N46" i="6"/>
  <c r="S45" i="6"/>
  <c r="R45" i="6"/>
  <c r="Q45" i="6"/>
  <c r="P45" i="6"/>
  <c r="O45" i="6"/>
  <c r="N45" i="6"/>
  <c r="S44" i="6"/>
  <c r="Q44" i="6"/>
  <c r="P44" i="6"/>
  <c r="O44" i="6"/>
  <c r="N44" i="6"/>
  <c r="S43" i="6"/>
  <c r="R43" i="6"/>
  <c r="Q43" i="6"/>
  <c r="P43" i="6"/>
  <c r="O43" i="6"/>
  <c r="N43" i="6"/>
  <c r="S42" i="6"/>
  <c r="R42" i="6"/>
  <c r="Q42" i="6"/>
  <c r="P42" i="6"/>
  <c r="O42" i="6"/>
  <c r="N42" i="6"/>
  <c r="S41" i="6"/>
  <c r="R41" i="6"/>
  <c r="Q41" i="6"/>
  <c r="P41" i="6"/>
  <c r="O41" i="6"/>
  <c r="N41" i="6"/>
  <c r="P40" i="6"/>
  <c r="O40" i="6"/>
  <c r="N40" i="6"/>
  <c r="S39" i="6"/>
  <c r="R39" i="6"/>
  <c r="Q39" i="6"/>
  <c r="P39" i="6"/>
  <c r="O39" i="6"/>
  <c r="N39" i="6"/>
  <c r="S38" i="6"/>
  <c r="R38" i="6"/>
  <c r="Q38" i="6"/>
  <c r="P38" i="6"/>
  <c r="O38" i="6"/>
  <c r="N38" i="6"/>
  <c r="S37" i="6"/>
  <c r="R37" i="6"/>
  <c r="Q37" i="6"/>
  <c r="P37" i="6"/>
  <c r="O37" i="6"/>
  <c r="N37" i="6"/>
  <c r="S36" i="6"/>
  <c r="R36" i="6"/>
  <c r="Q36" i="6"/>
  <c r="P36" i="6"/>
  <c r="O36" i="6"/>
  <c r="N36" i="6"/>
  <c r="S35" i="6"/>
  <c r="R35" i="6"/>
  <c r="Q35" i="6"/>
  <c r="P35" i="6"/>
  <c r="O35" i="6"/>
  <c r="N35" i="6"/>
  <c r="S34" i="6"/>
  <c r="R34" i="6"/>
  <c r="Q34" i="6"/>
  <c r="P34" i="6"/>
  <c r="O34" i="6"/>
  <c r="N34" i="6"/>
  <c r="S33" i="6"/>
  <c r="R33" i="6"/>
  <c r="Q33" i="6"/>
  <c r="P33" i="6"/>
  <c r="O33" i="6"/>
  <c r="N33" i="6"/>
  <c r="R32" i="6"/>
  <c r="Q32" i="6"/>
  <c r="P32" i="6"/>
  <c r="O32" i="6"/>
  <c r="N32" i="6"/>
  <c r="P31" i="6"/>
  <c r="O31" i="6"/>
  <c r="N31" i="6"/>
  <c r="S30" i="6"/>
  <c r="R30" i="6"/>
  <c r="Q30" i="6"/>
  <c r="P30" i="6"/>
  <c r="O30" i="6"/>
  <c r="N30" i="6"/>
  <c r="S29" i="6"/>
  <c r="R29" i="6"/>
  <c r="Q29" i="6"/>
  <c r="P29" i="6"/>
  <c r="O29" i="6"/>
  <c r="N29" i="6"/>
  <c r="S28" i="6"/>
  <c r="R28" i="6"/>
  <c r="Q28" i="6"/>
  <c r="P28" i="6"/>
  <c r="O28" i="6"/>
  <c r="N28" i="6"/>
  <c r="S27" i="6"/>
  <c r="R27" i="6"/>
  <c r="Q27" i="6"/>
  <c r="P27" i="6"/>
  <c r="O27" i="6"/>
  <c r="N27" i="6"/>
  <c r="S26" i="6"/>
  <c r="R26" i="6"/>
  <c r="Q26" i="6"/>
  <c r="P26" i="6"/>
  <c r="O26" i="6"/>
  <c r="N26" i="6"/>
  <c r="R25" i="6"/>
  <c r="Q25" i="6"/>
  <c r="P25" i="6"/>
  <c r="O25" i="6"/>
  <c r="N25" i="6"/>
  <c r="R24" i="6"/>
  <c r="Q24" i="6"/>
  <c r="P24" i="6"/>
  <c r="O24" i="6"/>
  <c r="N24" i="6"/>
  <c r="S23" i="6"/>
  <c r="Q23" i="6"/>
  <c r="P23" i="6"/>
  <c r="O23" i="6"/>
  <c r="N23" i="6"/>
  <c r="R22" i="6"/>
  <c r="Q22" i="6"/>
  <c r="P22" i="6"/>
  <c r="O22" i="6"/>
  <c r="N22" i="6"/>
  <c r="R21" i="6"/>
  <c r="Q21" i="6"/>
  <c r="P21" i="6"/>
  <c r="O21" i="6"/>
  <c r="N21" i="6"/>
  <c r="O20" i="6"/>
  <c r="P20" i="6"/>
  <c r="Q20" i="6"/>
  <c r="S19" i="6"/>
  <c r="R19" i="6"/>
  <c r="Q19" i="6"/>
  <c r="P19" i="6"/>
  <c r="O19" i="6"/>
  <c r="N19" i="6"/>
  <c r="S14" i="6"/>
  <c r="R14" i="6"/>
  <c r="Q14" i="6"/>
  <c r="P14" i="6"/>
  <c r="O14" i="6"/>
  <c r="N14" i="6"/>
  <c r="S13" i="6"/>
  <c r="R13" i="6"/>
  <c r="Q13" i="6"/>
  <c r="P13" i="6"/>
  <c r="O13" i="6"/>
  <c r="N13" i="6"/>
  <c r="S12" i="6"/>
  <c r="R12" i="6"/>
  <c r="Q12" i="6"/>
  <c r="P12" i="6"/>
  <c r="O12" i="6"/>
  <c r="N12" i="6"/>
  <c r="R11" i="6"/>
  <c r="Q11" i="6"/>
  <c r="P11" i="6"/>
  <c r="O11" i="6"/>
  <c r="N11" i="6"/>
  <c r="S10" i="6"/>
  <c r="R10" i="6"/>
  <c r="Q10" i="6"/>
  <c r="P10" i="6"/>
  <c r="O10" i="6"/>
  <c r="N10" i="6"/>
  <c r="P50" i="6" l="1"/>
  <c r="N49" i="6"/>
  <c r="O49" i="6"/>
  <c r="N50" i="6"/>
  <c r="T36" i="6"/>
  <c r="U37" i="6"/>
  <c r="P49" i="6"/>
  <c r="O50" i="6"/>
  <c r="N107" i="6"/>
  <c r="P107" i="6"/>
  <c r="P126" i="6"/>
  <c r="N126" i="6"/>
  <c r="S158" i="6"/>
  <c r="N158" i="6"/>
  <c r="O68" i="6"/>
  <c r="N78" i="6"/>
  <c r="S52" i="6"/>
  <c r="O160" i="6"/>
  <c r="Q135" i="6"/>
  <c r="S135" i="6"/>
  <c r="O126" i="6"/>
  <c r="B164" i="6"/>
  <c r="B165" i="6" s="1"/>
  <c r="F164" i="6"/>
  <c r="F165" i="6" s="1"/>
  <c r="O78" i="6"/>
  <c r="N103" i="6"/>
  <c r="P103" i="6"/>
  <c r="N121" i="6"/>
  <c r="P121" i="6"/>
  <c r="R145" i="6"/>
  <c r="N154" i="6"/>
  <c r="P154" i="6"/>
  <c r="R50" i="6"/>
  <c r="O103" i="6"/>
  <c r="O135" i="6"/>
  <c r="S20" i="6"/>
  <c r="C164" i="6"/>
  <c r="C165" i="6" s="1"/>
  <c r="G164" i="6"/>
  <c r="G165" i="6" s="1"/>
  <c r="P52" i="6"/>
  <c r="S49" i="6"/>
  <c r="Q49" i="6"/>
  <c r="N52" i="6"/>
  <c r="P68" i="6"/>
  <c r="N68" i="6"/>
  <c r="P71" i="6"/>
  <c r="N71" i="6"/>
  <c r="O94" i="6"/>
  <c r="O121" i="6"/>
  <c r="R126" i="6"/>
  <c r="P135" i="6"/>
  <c r="O145" i="6"/>
  <c r="O154" i="6"/>
  <c r="O158" i="6"/>
  <c r="E164" i="6"/>
  <c r="E165" i="6" s="1"/>
  <c r="O52" i="6"/>
  <c r="P78" i="6"/>
  <c r="N94" i="6"/>
  <c r="P94" i="6"/>
  <c r="O107" i="6"/>
  <c r="S121" i="6"/>
  <c r="Q121" i="6"/>
  <c r="N135" i="6"/>
  <c r="S145" i="6"/>
  <c r="N145" i="6"/>
  <c r="S154" i="6"/>
  <c r="Q154" i="6"/>
  <c r="P160" i="6"/>
  <c r="N160" i="6"/>
  <c r="N20" i="6"/>
  <c r="R49" i="6"/>
  <c r="S50" i="6"/>
  <c r="O71" i="6"/>
  <c r="R121" i="6"/>
  <c r="S126" i="6"/>
  <c r="R154" i="6"/>
  <c r="P158" i="6"/>
  <c r="D164" i="6"/>
  <c r="D165" i="6" s="1"/>
  <c r="Q52" i="6"/>
  <c r="P145" i="6"/>
  <c r="Q158" i="6"/>
  <c r="R160" i="6"/>
  <c r="I164" i="6"/>
  <c r="U126" i="6" s="1"/>
  <c r="Q50" i="6"/>
  <c r="R52" i="6"/>
  <c r="Q126" i="6"/>
  <c r="R135" i="6"/>
  <c r="Q145" i="6"/>
  <c r="R158" i="6"/>
  <c r="J164" i="6"/>
  <c r="H164" i="6"/>
  <c r="T126" i="6" l="1"/>
  <c r="T107" i="6"/>
  <c r="T135" i="6"/>
  <c r="U164" i="6"/>
  <c r="V107" i="6"/>
  <c r="V135" i="6"/>
  <c r="V126" i="6"/>
  <c r="U107" i="6"/>
  <c r="U135" i="6"/>
  <c r="S164" i="6"/>
  <c r="J165" i="6"/>
  <c r="P164" i="6"/>
  <c r="H165" i="6"/>
  <c r="N164" i="6"/>
  <c r="Q164" i="6"/>
  <c r="I165" i="6"/>
  <c r="O164" i="6"/>
  <c r="O165" i="6" l="1"/>
  <c r="R165" i="6"/>
  <c r="Q165" i="6"/>
  <c r="N165" i="6"/>
  <c r="P165" i="6"/>
  <c r="S165" i="6"/>
  <c r="N10" i="2" l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9" i="2"/>
  <c r="CW7" i="3"/>
  <c r="O9" i="2" s="1"/>
  <c r="DB7" i="3"/>
  <c r="DG7" i="3"/>
  <c r="DL7" i="3"/>
  <c r="E9" i="4" s="1"/>
  <c r="DN7" i="3"/>
  <c r="F9" i="4" s="1"/>
  <c r="G9" i="4" l="1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BG7" i="3"/>
  <c r="B9" i="4" s="1"/>
  <c r="BL7" i="3"/>
  <c r="C9" i="4" s="1"/>
  <c r="AS8" i="3"/>
  <c r="AY8" i="3"/>
  <c r="BG8" i="3"/>
  <c r="B10" i="4" s="1"/>
  <c r="BL8" i="3"/>
  <c r="C10" i="4" s="1"/>
  <c r="AS9" i="3"/>
  <c r="AY9" i="3"/>
  <c r="BG9" i="3"/>
  <c r="B11" i="4" s="1"/>
  <c r="BL9" i="3"/>
  <c r="C11" i="4" s="1"/>
  <c r="AS10" i="3"/>
  <c r="AY10" i="3"/>
  <c r="BG10" i="3"/>
  <c r="B12" i="4" s="1"/>
  <c r="BL10" i="3"/>
  <c r="C12" i="4" s="1"/>
  <c r="D11" i="4" l="1"/>
  <c r="D9" i="4"/>
  <c r="D10" i="4"/>
  <c r="D12" i="4"/>
  <c r="S8" i="3"/>
  <c r="BA8" i="3" s="1"/>
  <c r="AZ38" i="3" s="1"/>
  <c r="S9" i="3"/>
  <c r="BA9" i="3" s="1"/>
  <c r="S10" i="3"/>
  <c r="BA10" i="3" s="1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DI7" i="3"/>
  <c r="AZ39" i="3" l="1"/>
  <c r="AZ40" i="3"/>
  <c r="O8" i="3"/>
  <c r="AZ8" i="3" s="1"/>
  <c r="BB8" i="3" s="1"/>
  <c r="O9" i="3"/>
  <c r="AZ9" i="3" s="1"/>
  <c r="BB9" i="3" s="1"/>
  <c r="O10" i="3"/>
  <c r="AZ10" i="3" s="1"/>
  <c r="BB10" i="3" s="1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AZ37" i="3" l="1"/>
  <c r="DH7" i="3"/>
  <c r="DJ7" i="3" s="1"/>
  <c r="CK33" i="3"/>
  <c r="CL33" i="3"/>
  <c r="CV33" i="3"/>
  <c r="CU33" i="3"/>
  <c r="CO33" i="3"/>
  <c r="CH33" i="3"/>
  <c r="CF33" i="3"/>
  <c r="CA33" i="3"/>
  <c r="BW33" i="3"/>
  <c r="BT33" i="3"/>
  <c r="BR33" i="3"/>
  <c r="BO33" i="3"/>
  <c r="BM33" i="3"/>
  <c r="AI33" i="3"/>
  <c r="AG33" i="3"/>
  <c r="DN32" i="3"/>
  <c r="F34" i="4" s="1"/>
  <c r="DL32" i="3"/>
  <c r="E34" i="4" s="1"/>
  <c r="DG32" i="3"/>
  <c r="DB32" i="3"/>
  <c r="CW32" i="3"/>
  <c r="O34" i="2" s="1"/>
  <c r="CP32" i="3"/>
  <c r="CN32" i="3"/>
  <c r="CI32" i="3"/>
  <c r="O34" i="4" s="1"/>
  <c r="CG32" i="3"/>
  <c r="N34" i="4" s="1"/>
  <c r="CB32" i="3"/>
  <c r="BX32" i="3"/>
  <c r="K34" i="4" s="1"/>
  <c r="BU32" i="3"/>
  <c r="R34" i="4" s="1"/>
  <c r="BS32" i="3"/>
  <c r="Q34" i="4" s="1"/>
  <c r="BP32" i="3"/>
  <c r="I34" i="4" s="1"/>
  <c r="BN32" i="3"/>
  <c r="H34" i="4" s="1"/>
  <c r="BL32" i="3"/>
  <c r="C34" i="4" s="1"/>
  <c r="BG32" i="3"/>
  <c r="B34" i="4" s="1"/>
  <c r="AY32" i="3"/>
  <c r="AS32" i="3"/>
  <c r="AC32" i="3"/>
  <c r="X32" i="3"/>
  <c r="K32" i="3"/>
  <c r="F32" i="3"/>
  <c r="DN31" i="3"/>
  <c r="F33" i="4" s="1"/>
  <c r="DL31" i="3"/>
  <c r="E33" i="4" s="1"/>
  <c r="DG31" i="3"/>
  <c r="DB31" i="3"/>
  <c r="CW31" i="3"/>
  <c r="O33" i="2" s="1"/>
  <c r="CP31" i="3"/>
  <c r="CN31" i="3"/>
  <c r="CI31" i="3"/>
  <c r="O33" i="4" s="1"/>
  <c r="CG31" i="3"/>
  <c r="N33" i="4" s="1"/>
  <c r="CB31" i="3"/>
  <c r="BX31" i="3"/>
  <c r="K33" i="4" s="1"/>
  <c r="BU31" i="3"/>
  <c r="R33" i="4" s="1"/>
  <c r="BS31" i="3"/>
  <c r="Q33" i="4" s="1"/>
  <c r="BP31" i="3"/>
  <c r="I33" i="4" s="1"/>
  <c r="BN31" i="3"/>
  <c r="H33" i="4" s="1"/>
  <c r="BL31" i="3"/>
  <c r="C33" i="4" s="1"/>
  <c r="BG31" i="3"/>
  <c r="B33" i="4" s="1"/>
  <c r="AY31" i="3"/>
  <c r="AS31" i="3"/>
  <c r="AC31" i="3"/>
  <c r="X31" i="3"/>
  <c r="K31" i="3"/>
  <c r="F31" i="3"/>
  <c r="DN30" i="3"/>
  <c r="F32" i="4" s="1"/>
  <c r="DL30" i="3"/>
  <c r="E32" i="4" s="1"/>
  <c r="DG30" i="3"/>
  <c r="DB30" i="3"/>
  <c r="CW30" i="3"/>
  <c r="O32" i="2" s="1"/>
  <c r="P32" i="2" s="1"/>
  <c r="CP30" i="3"/>
  <c r="CN30" i="3"/>
  <c r="CI30" i="3"/>
  <c r="O32" i="4" s="1"/>
  <c r="CG30" i="3"/>
  <c r="N32" i="4" s="1"/>
  <c r="CB30" i="3"/>
  <c r="BX30" i="3"/>
  <c r="K32" i="4" s="1"/>
  <c r="BU30" i="3"/>
  <c r="R32" i="4" s="1"/>
  <c r="BS30" i="3"/>
  <c r="Q32" i="4" s="1"/>
  <c r="BP30" i="3"/>
  <c r="I32" i="4" s="1"/>
  <c r="BN30" i="3"/>
  <c r="H32" i="4" s="1"/>
  <c r="BL30" i="3"/>
  <c r="C32" i="4" s="1"/>
  <c r="BG30" i="3"/>
  <c r="B32" i="4" s="1"/>
  <c r="AY30" i="3"/>
  <c r="AS30" i="3"/>
  <c r="AC30" i="3"/>
  <c r="X30" i="3"/>
  <c r="K30" i="3"/>
  <c r="F30" i="3"/>
  <c r="DN29" i="3"/>
  <c r="F31" i="4" s="1"/>
  <c r="DL29" i="3"/>
  <c r="E31" i="4" s="1"/>
  <c r="DG29" i="3"/>
  <c r="DB29" i="3"/>
  <c r="CW29" i="3"/>
  <c r="O31" i="2" s="1"/>
  <c r="CP29" i="3"/>
  <c r="CN29" i="3"/>
  <c r="CI29" i="3"/>
  <c r="O31" i="4" s="1"/>
  <c r="CG29" i="3"/>
  <c r="N31" i="4" s="1"/>
  <c r="CB29" i="3"/>
  <c r="BX29" i="3"/>
  <c r="K31" i="4" s="1"/>
  <c r="BU29" i="3"/>
  <c r="R31" i="4" s="1"/>
  <c r="BS29" i="3"/>
  <c r="Q31" i="4" s="1"/>
  <c r="BP29" i="3"/>
  <c r="I31" i="4" s="1"/>
  <c r="BN29" i="3"/>
  <c r="H31" i="4" s="1"/>
  <c r="BL29" i="3"/>
  <c r="C31" i="4" s="1"/>
  <c r="BG29" i="3"/>
  <c r="B31" i="4" s="1"/>
  <c r="AY29" i="3"/>
  <c r="AS29" i="3"/>
  <c r="AC29" i="3"/>
  <c r="X29" i="3"/>
  <c r="K29" i="3"/>
  <c r="F29" i="3"/>
  <c r="DN28" i="3"/>
  <c r="F30" i="4" s="1"/>
  <c r="DL28" i="3"/>
  <c r="E30" i="4" s="1"/>
  <c r="DG28" i="3"/>
  <c r="DB28" i="3"/>
  <c r="CW28" i="3"/>
  <c r="O30" i="2" s="1"/>
  <c r="CP28" i="3"/>
  <c r="CN28" i="3"/>
  <c r="CI28" i="3"/>
  <c r="O30" i="4" s="1"/>
  <c r="CG28" i="3"/>
  <c r="N30" i="4" s="1"/>
  <c r="CB28" i="3"/>
  <c r="BX28" i="3"/>
  <c r="K30" i="4" s="1"/>
  <c r="BU28" i="3"/>
  <c r="R30" i="4" s="1"/>
  <c r="BS28" i="3"/>
  <c r="Q30" i="4" s="1"/>
  <c r="BP28" i="3"/>
  <c r="I30" i="4" s="1"/>
  <c r="BN28" i="3"/>
  <c r="H30" i="4" s="1"/>
  <c r="BL28" i="3"/>
  <c r="C30" i="4" s="1"/>
  <c r="BG28" i="3"/>
  <c r="B30" i="4" s="1"/>
  <c r="AY28" i="3"/>
  <c r="AS28" i="3"/>
  <c r="AC28" i="3"/>
  <c r="AL28" i="3" s="1"/>
  <c r="F30" i="2" s="1"/>
  <c r="X28" i="3"/>
  <c r="K28" i="3"/>
  <c r="F28" i="3"/>
  <c r="DN27" i="3"/>
  <c r="F29" i="4" s="1"/>
  <c r="DL27" i="3"/>
  <c r="E29" i="4" s="1"/>
  <c r="DG27" i="3"/>
  <c r="DB27" i="3"/>
  <c r="CW27" i="3"/>
  <c r="O29" i="2" s="1"/>
  <c r="CP27" i="3"/>
  <c r="CN27" i="3"/>
  <c r="CI27" i="3"/>
  <c r="O29" i="4" s="1"/>
  <c r="CG27" i="3"/>
  <c r="N29" i="4" s="1"/>
  <c r="CB27" i="3"/>
  <c r="BX27" i="3"/>
  <c r="K29" i="4" s="1"/>
  <c r="BU27" i="3"/>
  <c r="R29" i="4" s="1"/>
  <c r="BS27" i="3"/>
  <c r="Q29" i="4" s="1"/>
  <c r="BP27" i="3"/>
  <c r="I29" i="4" s="1"/>
  <c r="BN27" i="3"/>
  <c r="H29" i="4" s="1"/>
  <c r="BL27" i="3"/>
  <c r="C29" i="4" s="1"/>
  <c r="BG27" i="3"/>
  <c r="B29" i="4" s="1"/>
  <c r="AY27" i="3"/>
  <c r="AS27" i="3"/>
  <c r="AC27" i="3"/>
  <c r="X27" i="3"/>
  <c r="K27" i="3"/>
  <c r="F27" i="3"/>
  <c r="DN26" i="3"/>
  <c r="F28" i="4" s="1"/>
  <c r="DL26" i="3"/>
  <c r="E28" i="4" s="1"/>
  <c r="DG26" i="3"/>
  <c r="DB26" i="3"/>
  <c r="CW26" i="3"/>
  <c r="O28" i="2" s="1"/>
  <c r="CP26" i="3"/>
  <c r="CN26" i="3"/>
  <c r="CI26" i="3"/>
  <c r="O28" i="4" s="1"/>
  <c r="CG26" i="3"/>
  <c r="N28" i="4" s="1"/>
  <c r="CB26" i="3"/>
  <c r="BX26" i="3"/>
  <c r="K28" i="4" s="1"/>
  <c r="BU26" i="3"/>
  <c r="R28" i="4" s="1"/>
  <c r="BS26" i="3"/>
  <c r="Q28" i="4" s="1"/>
  <c r="BP26" i="3"/>
  <c r="I28" i="4" s="1"/>
  <c r="BN26" i="3"/>
  <c r="H28" i="4" s="1"/>
  <c r="BL26" i="3"/>
  <c r="C28" i="4" s="1"/>
  <c r="BG26" i="3"/>
  <c r="B28" i="4" s="1"/>
  <c r="AY26" i="3"/>
  <c r="AS26" i="3"/>
  <c r="AC26" i="3"/>
  <c r="X26" i="3"/>
  <c r="K26" i="3"/>
  <c r="F26" i="3"/>
  <c r="DN25" i="3"/>
  <c r="F27" i="4" s="1"/>
  <c r="DL25" i="3"/>
  <c r="E27" i="4" s="1"/>
  <c r="DG25" i="3"/>
  <c r="DI25" i="3" s="1"/>
  <c r="DB25" i="3"/>
  <c r="CW25" i="3"/>
  <c r="O27" i="2" s="1"/>
  <c r="CP25" i="3"/>
  <c r="CN25" i="3"/>
  <c r="CI25" i="3"/>
  <c r="O27" i="4" s="1"/>
  <c r="CG25" i="3"/>
  <c r="N27" i="4" s="1"/>
  <c r="CB25" i="3"/>
  <c r="BX25" i="3"/>
  <c r="K27" i="4" s="1"/>
  <c r="BU25" i="3"/>
  <c r="R27" i="4" s="1"/>
  <c r="BS25" i="3"/>
  <c r="Q27" i="4" s="1"/>
  <c r="BP25" i="3"/>
  <c r="I27" i="4" s="1"/>
  <c r="BN25" i="3"/>
  <c r="H27" i="4" s="1"/>
  <c r="BL25" i="3"/>
  <c r="C27" i="4" s="1"/>
  <c r="BG25" i="3"/>
  <c r="B27" i="4" s="1"/>
  <c r="AY25" i="3"/>
  <c r="AS25" i="3"/>
  <c r="AZ25" i="3" s="1"/>
  <c r="AC25" i="3"/>
  <c r="X25" i="3"/>
  <c r="K25" i="3"/>
  <c r="F25" i="3"/>
  <c r="DN24" i="3"/>
  <c r="F26" i="4" s="1"/>
  <c r="DL24" i="3"/>
  <c r="E26" i="4" s="1"/>
  <c r="DG24" i="3"/>
  <c r="DB24" i="3"/>
  <c r="DH24" i="3" s="1"/>
  <c r="CW24" i="3"/>
  <c r="O26" i="2" s="1"/>
  <c r="CP24" i="3"/>
  <c r="CN24" i="3"/>
  <c r="CI24" i="3"/>
  <c r="O26" i="4" s="1"/>
  <c r="CG24" i="3"/>
  <c r="N26" i="4" s="1"/>
  <c r="CB24" i="3"/>
  <c r="BX24" i="3"/>
  <c r="K26" i="4" s="1"/>
  <c r="BU24" i="3"/>
  <c r="R26" i="4" s="1"/>
  <c r="BS24" i="3"/>
  <c r="Q26" i="4" s="1"/>
  <c r="BP24" i="3"/>
  <c r="I26" i="4" s="1"/>
  <c r="BN24" i="3"/>
  <c r="H26" i="4" s="1"/>
  <c r="BL24" i="3"/>
  <c r="C26" i="4" s="1"/>
  <c r="BG24" i="3"/>
  <c r="B26" i="4" s="1"/>
  <c r="AY24" i="3"/>
  <c r="AS24" i="3"/>
  <c r="AC24" i="3"/>
  <c r="X24" i="3"/>
  <c r="K24" i="3"/>
  <c r="F24" i="3"/>
  <c r="DN23" i="3"/>
  <c r="F25" i="4" s="1"/>
  <c r="DL23" i="3"/>
  <c r="E25" i="4" s="1"/>
  <c r="DG23" i="3"/>
  <c r="DB23" i="3"/>
  <c r="CW23" i="3"/>
  <c r="O25" i="2" s="1"/>
  <c r="CP23" i="3"/>
  <c r="CN23" i="3"/>
  <c r="CI23" i="3"/>
  <c r="O25" i="4" s="1"/>
  <c r="CG23" i="3"/>
  <c r="N25" i="4" s="1"/>
  <c r="CB23" i="3"/>
  <c r="BX23" i="3"/>
  <c r="K25" i="4" s="1"/>
  <c r="BU23" i="3"/>
  <c r="R25" i="4" s="1"/>
  <c r="BS23" i="3"/>
  <c r="Q25" i="4" s="1"/>
  <c r="BP23" i="3"/>
  <c r="I25" i="4" s="1"/>
  <c r="BN23" i="3"/>
  <c r="H25" i="4" s="1"/>
  <c r="BL23" i="3"/>
  <c r="C25" i="4" s="1"/>
  <c r="BG23" i="3"/>
  <c r="B25" i="4" s="1"/>
  <c r="AY23" i="3"/>
  <c r="AS23" i="3"/>
  <c r="AC23" i="3"/>
  <c r="X23" i="3"/>
  <c r="K23" i="3"/>
  <c r="F23" i="3"/>
  <c r="DN22" i="3"/>
  <c r="F24" i="4" s="1"/>
  <c r="DL22" i="3"/>
  <c r="E24" i="4" s="1"/>
  <c r="DG22" i="3"/>
  <c r="DB22" i="3"/>
  <c r="CW22" i="3"/>
  <c r="O24" i="2" s="1"/>
  <c r="CP22" i="3"/>
  <c r="CN22" i="3"/>
  <c r="CI22" i="3"/>
  <c r="O24" i="4" s="1"/>
  <c r="CG22" i="3"/>
  <c r="N24" i="4" s="1"/>
  <c r="CB22" i="3"/>
  <c r="BX22" i="3"/>
  <c r="K24" i="4" s="1"/>
  <c r="BU22" i="3"/>
  <c r="R24" i="4" s="1"/>
  <c r="BS22" i="3"/>
  <c r="Q24" i="4" s="1"/>
  <c r="BP22" i="3"/>
  <c r="I24" i="4" s="1"/>
  <c r="BN22" i="3"/>
  <c r="H24" i="4" s="1"/>
  <c r="BL22" i="3"/>
  <c r="C24" i="4" s="1"/>
  <c r="BG22" i="3"/>
  <c r="B24" i="4" s="1"/>
  <c r="AY22" i="3"/>
  <c r="AS22" i="3"/>
  <c r="AC22" i="3"/>
  <c r="X22" i="3"/>
  <c r="K22" i="3"/>
  <c r="F22" i="3"/>
  <c r="DN21" i="3"/>
  <c r="F23" i="4" s="1"/>
  <c r="DL21" i="3"/>
  <c r="E23" i="4" s="1"/>
  <c r="DG21" i="3"/>
  <c r="DB21" i="3"/>
  <c r="CW21" i="3"/>
  <c r="O23" i="2" s="1"/>
  <c r="CP21" i="3"/>
  <c r="CN21" i="3"/>
  <c r="CI21" i="3"/>
  <c r="O23" i="4" s="1"/>
  <c r="CG21" i="3"/>
  <c r="N23" i="4" s="1"/>
  <c r="CB21" i="3"/>
  <c r="BX21" i="3"/>
  <c r="K23" i="4" s="1"/>
  <c r="BU21" i="3"/>
  <c r="R23" i="4" s="1"/>
  <c r="BS21" i="3"/>
  <c r="Q23" i="4" s="1"/>
  <c r="BP21" i="3"/>
  <c r="I23" i="4" s="1"/>
  <c r="BN21" i="3"/>
  <c r="H23" i="4" s="1"/>
  <c r="BL21" i="3"/>
  <c r="C23" i="4" s="1"/>
  <c r="BG21" i="3"/>
  <c r="B23" i="4" s="1"/>
  <c r="AY21" i="3"/>
  <c r="AS21" i="3"/>
  <c r="AC21" i="3"/>
  <c r="X21" i="3"/>
  <c r="AK21" i="3" s="1"/>
  <c r="E23" i="2" s="1"/>
  <c r="K21" i="3"/>
  <c r="F21" i="3"/>
  <c r="DN20" i="3"/>
  <c r="F22" i="4" s="1"/>
  <c r="DL20" i="3"/>
  <c r="E22" i="4" s="1"/>
  <c r="DG20" i="3"/>
  <c r="DB20" i="3"/>
  <c r="CW20" i="3"/>
  <c r="O22" i="2" s="1"/>
  <c r="CP20" i="3"/>
  <c r="CN20" i="3"/>
  <c r="CI20" i="3"/>
  <c r="O22" i="4" s="1"/>
  <c r="CG20" i="3"/>
  <c r="N22" i="4" s="1"/>
  <c r="CB20" i="3"/>
  <c r="BX20" i="3"/>
  <c r="K22" i="4" s="1"/>
  <c r="BU20" i="3"/>
  <c r="R22" i="4" s="1"/>
  <c r="BS20" i="3"/>
  <c r="Q22" i="4" s="1"/>
  <c r="BP20" i="3"/>
  <c r="I22" i="4" s="1"/>
  <c r="BN20" i="3"/>
  <c r="H22" i="4" s="1"/>
  <c r="BL20" i="3"/>
  <c r="C22" i="4" s="1"/>
  <c r="BG20" i="3"/>
  <c r="B22" i="4" s="1"/>
  <c r="AY20" i="3"/>
  <c r="AS20" i="3"/>
  <c r="AC20" i="3"/>
  <c r="X20" i="3"/>
  <c r="K20" i="3"/>
  <c r="F20" i="3"/>
  <c r="DN19" i="3"/>
  <c r="F21" i="4" s="1"/>
  <c r="DL19" i="3"/>
  <c r="E21" i="4" s="1"/>
  <c r="DG19" i="3"/>
  <c r="DB19" i="3"/>
  <c r="CW19" i="3"/>
  <c r="O21" i="2" s="1"/>
  <c r="CP19" i="3"/>
  <c r="CN19" i="3"/>
  <c r="CI19" i="3"/>
  <c r="O21" i="4" s="1"/>
  <c r="CG19" i="3"/>
  <c r="N21" i="4" s="1"/>
  <c r="CB19" i="3"/>
  <c r="BX19" i="3"/>
  <c r="K21" i="4" s="1"/>
  <c r="BU19" i="3"/>
  <c r="R21" i="4" s="1"/>
  <c r="BS19" i="3"/>
  <c r="Q21" i="4" s="1"/>
  <c r="BP19" i="3"/>
  <c r="I21" i="4" s="1"/>
  <c r="BN19" i="3"/>
  <c r="H21" i="4" s="1"/>
  <c r="BL19" i="3"/>
  <c r="C21" i="4" s="1"/>
  <c r="BG19" i="3"/>
  <c r="B21" i="4" s="1"/>
  <c r="AY19" i="3"/>
  <c r="AS19" i="3"/>
  <c r="AC19" i="3"/>
  <c r="X19" i="3"/>
  <c r="K19" i="3"/>
  <c r="F19" i="3"/>
  <c r="DN18" i="3"/>
  <c r="F20" i="4" s="1"/>
  <c r="DL18" i="3"/>
  <c r="E20" i="4" s="1"/>
  <c r="DG18" i="3"/>
  <c r="DB18" i="3"/>
  <c r="CW18" i="3"/>
  <c r="O20" i="2" s="1"/>
  <c r="CP18" i="3"/>
  <c r="CN18" i="3"/>
  <c r="CI18" i="3"/>
  <c r="O20" i="4" s="1"/>
  <c r="CG18" i="3"/>
  <c r="N20" i="4" s="1"/>
  <c r="CB18" i="3"/>
  <c r="BX18" i="3"/>
  <c r="K20" i="4" s="1"/>
  <c r="BU18" i="3"/>
  <c r="R20" i="4" s="1"/>
  <c r="BS18" i="3"/>
  <c r="Q20" i="4" s="1"/>
  <c r="BP18" i="3"/>
  <c r="I20" i="4" s="1"/>
  <c r="BN18" i="3"/>
  <c r="H20" i="4" s="1"/>
  <c r="BL18" i="3"/>
  <c r="C20" i="4" s="1"/>
  <c r="BG18" i="3"/>
  <c r="B20" i="4" s="1"/>
  <c r="AY18" i="3"/>
  <c r="AS18" i="3"/>
  <c r="AZ18" i="3" s="1"/>
  <c r="AC18" i="3"/>
  <c r="X18" i="3"/>
  <c r="K18" i="3"/>
  <c r="F18" i="3"/>
  <c r="DN17" i="3"/>
  <c r="F19" i="4" s="1"/>
  <c r="DL17" i="3"/>
  <c r="E19" i="4" s="1"/>
  <c r="DG17" i="3"/>
  <c r="DB17" i="3"/>
  <c r="CW17" i="3"/>
  <c r="O19" i="2" s="1"/>
  <c r="CP17" i="3"/>
  <c r="CN17" i="3"/>
  <c r="CI17" i="3"/>
  <c r="O19" i="4" s="1"/>
  <c r="CG17" i="3"/>
  <c r="N19" i="4" s="1"/>
  <c r="CB17" i="3"/>
  <c r="BX17" i="3"/>
  <c r="K19" i="4" s="1"/>
  <c r="BU17" i="3"/>
  <c r="R19" i="4" s="1"/>
  <c r="BS17" i="3"/>
  <c r="Q19" i="4" s="1"/>
  <c r="BP17" i="3"/>
  <c r="I19" i="4" s="1"/>
  <c r="BN17" i="3"/>
  <c r="H19" i="4" s="1"/>
  <c r="BL17" i="3"/>
  <c r="C19" i="4" s="1"/>
  <c r="BG17" i="3"/>
  <c r="B19" i="4" s="1"/>
  <c r="AY17" i="3"/>
  <c r="AS17" i="3"/>
  <c r="AC17" i="3"/>
  <c r="X17" i="3"/>
  <c r="K17" i="3"/>
  <c r="F17" i="3"/>
  <c r="DN16" i="3"/>
  <c r="F18" i="4" s="1"/>
  <c r="DL16" i="3"/>
  <c r="E18" i="4" s="1"/>
  <c r="DG16" i="3"/>
  <c r="DB16" i="3"/>
  <c r="CW16" i="3"/>
  <c r="O18" i="2" s="1"/>
  <c r="CP16" i="3"/>
  <c r="CN16" i="3"/>
  <c r="CI16" i="3"/>
  <c r="O18" i="4" s="1"/>
  <c r="CG16" i="3"/>
  <c r="N18" i="4" s="1"/>
  <c r="CB16" i="3"/>
  <c r="BX16" i="3"/>
  <c r="K18" i="4" s="1"/>
  <c r="BU16" i="3"/>
  <c r="R18" i="4" s="1"/>
  <c r="BS16" i="3"/>
  <c r="Q18" i="4" s="1"/>
  <c r="BP16" i="3"/>
  <c r="I18" i="4" s="1"/>
  <c r="BN16" i="3"/>
  <c r="H18" i="4" s="1"/>
  <c r="BL16" i="3"/>
  <c r="C18" i="4" s="1"/>
  <c r="BG16" i="3"/>
  <c r="B18" i="4" s="1"/>
  <c r="AY16" i="3"/>
  <c r="AS16" i="3"/>
  <c r="AZ16" i="3" s="1"/>
  <c r="AC16" i="3"/>
  <c r="X16" i="3"/>
  <c r="K16" i="3"/>
  <c r="F16" i="3"/>
  <c r="DN15" i="3"/>
  <c r="F17" i="4" s="1"/>
  <c r="DL15" i="3"/>
  <c r="E17" i="4" s="1"/>
  <c r="DG15" i="3"/>
  <c r="DB15" i="3"/>
  <c r="CW15" i="3"/>
  <c r="O17" i="2" s="1"/>
  <c r="CP15" i="3"/>
  <c r="CN15" i="3"/>
  <c r="CI15" i="3"/>
  <c r="O17" i="4" s="1"/>
  <c r="CG15" i="3"/>
  <c r="N17" i="4" s="1"/>
  <c r="CB15" i="3"/>
  <c r="BX15" i="3"/>
  <c r="K17" i="4" s="1"/>
  <c r="BU15" i="3"/>
  <c r="R17" i="4" s="1"/>
  <c r="T17" i="4" s="1"/>
  <c r="BS15" i="3"/>
  <c r="Q17" i="4" s="1"/>
  <c r="BP15" i="3"/>
  <c r="I17" i="4" s="1"/>
  <c r="BN15" i="3"/>
  <c r="H17" i="4" s="1"/>
  <c r="BL15" i="3"/>
  <c r="C17" i="4" s="1"/>
  <c r="BG15" i="3"/>
  <c r="B17" i="4" s="1"/>
  <c r="AY15" i="3"/>
  <c r="AS15" i="3"/>
  <c r="AC15" i="3"/>
  <c r="X15" i="3"/>
  <c r="K15" i="3"/>
  <c r="F15" i="3"/>
  <c r="DN14" i="3"/>
  <c r="F16" i="4" s="1"/>
  <c r="DL14" i="3"/>
  <c r="E16" i="4" s="1"/>
  <c r="DG14" i="3"/>
  <c r="DB14" i="3"/>
  <c r="CW14" i="3"/>
  <c r="O16" i="2" s="1"/>
  <c r="CP14" i="3"/>
  <c r="CN14" i="3"/>
  <c r="CI14" i="3"/>
  <c r="O16" i="4" s="1"/>
  <c r="CG14" i="3"/>
  <c r="N16" i="4" s="1"/>
  <c r="CB14" i="3"/>
  <c r="BX14" i="3"/>
  <c r="BU14" i="3"/>
  <c r="R16" i="4" s="1"/>
  <c r="BS14" i="3"/>
  <c r="Q16" i="4" s="1"/>
  <c r="BP14" i="3"/>
  <c r="I16" i="4" s="1"/>
  <c r="BN14" i="3"/>
  <c r="H16" i="4" s="1"/>
  <c r="BL14" i="3"/>
  <c r="C16" i="4" s="1"/>
  <c r="BG14" i="3"/>
  <c r="B16" i="4" s="1"/>
  <c r="AY14" i="3"/>
  <c r="AS14" i="3"/>
  <c r="AC14" i="3"/>
  <c r="X14" i="3"/>
  <c r="K14" i="3"/>
  <c r="F14" i="3"/>
  <c r="DN13" i="3"/>
  <c r="F15" i="4" s="1"/>
  <c r="DL13" i="3"/>
  <c r="E15" i="4" s="1"/>
  <c r="DG13" i="3"/>
  <c r="DB13" i="3"/>
  <c r="CW13" i="3"/>
  <c r="O15" i="2" s="1"/>
  <c r="CP13" i="3"/>
  <c r="CN13" i="3"/>
  <c r="CI13" i="3"/>
  <c r="O15" i="4" s="1"/>
  <c r="CG13" i="3"/>
  <c r="N15" i="4" s="1"/>
  <c r="CB13" i="3"/>
  <c r="BX13" i="3"/>
  <c r="K15" i="4" s="1"/>
  <c r="BU13" i="3"/>
  <c r="R15" i="4" s="1"/>
  <c r="BS13" i="3"/>
  <c r="Q15" i="4" s="1"/>
  <c r="BP13" i="3"/>
  <c r="I15" i="4" s="1"/>
  <c r="BN13" i="3"/>
  <c r="H15" i="4" s="1"/>
  <c r="BL13" i="3"/>
  <c r="C15" i="4" s="1"/>
  <c r="BG13" i="3"/>
  <c r="B15" i="4" s="1"/>
  <c r="AY13" i="3"/>
  <c r="AS13" i="3"/>
  <c r="AC13" i="3"/>
  <c r="X13" i="3"/>
  <c r="K13" i="3"/>
  <c r="F13" i="3"/>
  <c r="DN12" i="3"/>
  <c r="F14" i="4" s="1"/>
  <c r="DL12" i="3"/>
  <c r="E14" i="4" s="1"/>
  <c r="DG12" i="3"/>
  <c r="DB12" i="3"/>
  <c r="CW12" i="3"/>
  <c r="O14" i="2" s="1"/>
  <c r="CP12" i="3"/>
  <c r="CN12" i="3"/>
  <c r="CI12" i="3"/>
  <c r="O14" i="4" s="1"/>
  <c r="CG12" i="3"/>
  <c r="N14" i="4" s="1"/>
  <c r="CB12" i="3"/>
  <c r="BX12" i="3"/>
  <c r="K14" i="4" s="1"/>
  <c r="BU12" i="3"/>
  <c r="R14" i="4" s="1"/>
  <c r="BS12" i="3"/>
  <c r="Q14" i="4" s="1"/>
  <c r="BP12" i="3"/>
  <c r="I14" i="4" s="1"/>
  <c r="BN12" i="3"/>
  <c r="H14" i="4" s="1"/>
  <c r="BL12" i="3"/>
  <c r="C14" i="4" s="1"/>
  <c r="BG12" i="3"/>
  <c r="B14" i="4" s="1"/>
  <c r="AY12" i="3"/>
  <c r="AS12" i="3"/>
  <c r="AC12" i="3"/>
  <c r="X12" i="3"/>
  <c r="K12" i="3"/>
  <c r="F12" i="3"/>
  <c r="DN11" i="3"/>
  <c r="F13" i="4" s="1"/>
  <c r="DL11" i="3"/>
  <c r="E13" i="4" s="1"/>
  <c r="DG11" i="3"/>
  <c r="DB11" i="3"/>
  <c r="CW11" i="3"/>
  <c r="O13" i="2" s="1"/>
  <c r="CP11" i="3"/>
  <c r="CN11" i="3"/>
  <c r="CI11" i="3"/>
  <c r="O13" i="4" s="1"/>
  <c r="CG11" i="3"/>
  <c r="N13" i="4" s="1"/>
  <c r="CB11" i="3"/>
  <c r="BX11" i="3"/>
  <c r="K13" i="4" s="1"/>
  <c r="BU11" i="3"/>
  <c r="R13" i="4" s="1"/>
  <c r="BS11" i="3"/>
  <c r="Q13" i="4" s="1"/>
  <c r="BP11" i="3"/>
  <c r="I13" i="4" s="1"/>
  <c r="BN11" i="3"/>
  <c r="H13" i="4" s="1"/>
  <c r="BL11" i="3"/>
  <c r="C13" i="4" s="1"/>
  <c r="BG11" i="3"/>
  <c r="B13" i="4" s="1"/>
  <c r="AY11" i="3"/>
  <c r="AS11" i="3"/>
  <c r="AC11" i="3"/>
  <c r="X11" i="3"/>
  <c r="K11" i="3"/>
  <c r="F11" i="3"/>
  <c r="DN10" i="3"/>
  <c r="F12" i="4" s="1"/>
  <c r="DL10" i="3"/>
  <c r="E12" i="4" s="1"/>
  <c r="DG10" i="3"/>
  <c r="DB10" i="3"/>
  <c r="CW10" i="3"/>
  <c r="O12" i="2" s="1"/>
  <c r="CP10" i="3"/>
  <c r="CN10" i="3"/>
  <c r="CI10" i="3"/>
  <c r="O12" i="4" s="1"/>
  <c r="CG10" i="3"/>
  <c r="N12" i="4" s="1"/>
  <c r="CB10" i="3"/>
  <c r="BX10" i="3"/>
  <c r="K12" i="4" s="1"/>
  <c r="BU10" i="3"/>
  <c r="R12" i="4" s="1"/>
  <c r="BS10" i="3"/>
  <c r="Q12" i="4" s="1"/>
  <c r="BP10" i="3"/>
  <c r="I12" i="4" s="1"/>
  <c r="BN10" i="3"/>
  <c r="H12" i="4" s="1"/>
  <c r="AC10" i="3"/>
  <c r="X10" i="3"/>
  <c r="K10" i="3"/>
  <c r="F10" i="3"/>
  <c r="DN9" i="3"/>
  <c r="F11" i="4" s="1"/>
  <c r="DL9" i="3"/>
  <c r="E11" i="4" s="1"/>
  <c r="DG9" i="3"/>
  <c r="DB9" i="3"/>
  <c r="CW9" i="3"/>
  <c r="O11" i="2" s="1"/>
  <c r="CP9" i="3"/>
  <c r="CN9" i="3"/>
  <c r="CI9" i="3"/>
  <c r="O11" i="4" s="1"/>
  <c r="CG9" i="3"/>
  <c r="N11" i="4" s="1"/>
  <c r="CB9" i="3"/>
  <c r="BX9" i="3"/>
  <c r="K11" i="4" s="1"/>
  <c r="BU9" i="3"/>
  <c r="R11" i="4" s="1"/>
  <c r="BS9" i="3"/>
  <c r="Q11" i="4" s="1"/>
  <c r="BP9" i="3"/>
  <c r="I11" i="4" s="1"/>
  <c r="BN9" i="3"/>
  <c r="H11" i="4" s="1"/>
  <c r="AC9" i="3"/>
  <c r="X9" i="3"/>
  <c r="K9" i="3"/>
  <c r="F9" i="3"/>
  <c r="DN8" i="3"/>
  <c r="F10" i="4" s="1"/>
  <c r="DL8" i="3"/>
  <c r="E10" i="4" s="1"/>
  <c r="DG8" i="3"/>
  <c r="DB8" i="3"/>
  <c r="CW8" i="3"/>
  <c r="O10" i="2" s="1"/>
  <c r="CP8" i="3"/>
  <c r="CN8" i="3"/>
  <c r="CI8" i="3"/>
  <c r="O10" i="4" s="1"/>
  <c r="CG8" i="3"/>
  <c r="N10" i="4" s="1"/>
  <c r="CB8" i="3"/>
  <c r="BX8" i="3"/>
  <c r="K10" i="4" s="1"/>
  <c r="BU8" i="3"/>
  <c r="R10" i="4" s="1"/>
  <c r="BS8" i="3"/>
  <c r="Q10" i="4" s="1"/>
  <c r="BP8" i="3"/>
  <c r="I10" i="4" s="1"/>
  <c r="BN8" i="3"/>
  <c r="H10" i="4" s="1"/>
  <c r="AC8" i="3"/>
  <c r="X8" i="3"/>
  <c r="K8" i="3"/>
  <c r="F8" i="3"/>
  <c r="CP7" i="3"/>
  <c r="CN7" i="3"/>
  <c r="J9" i="2" s="1"/>
  <c r="CI7" i="3"/>
  <c r="O9" i="4" s="1"/>
  <c r="CG7" i="3"/>
  <c r="N9" i="4" s="1"/>
  <c r="CB7" i="3"/>
  <c r="BX7" i="3"/>
  <c r="K9" i="4" s="1"/>
  <c r="BU7" i="3"/>
  <c r="R9" i="4" s="1"/>
  <c r="BS7" i="3"/>
  <c r="Q9" i="4" s="1"/>
  <c r="BP7" i="3"/>
  <c r="I9" i="4" s="1"/>
  <c r="BN7" i="3"/>
  <c r="H9" i="4" s="1"/>
  <c r="K7" i="3"/>
  <c r="AE7" i="3" s="1"/>
  <c r="AJ7" i="3" s="1"/>
  <c r="F7" i="3"/>
  <c r="AD7" i="3" s="1"/>
  <c r="AH7" i="3" s="1"/>
  <c r="L15" i="4" l="1"/>
  <c r="CD13" i="3"/>
  <c r="CE13" i="3"/>
  <c r="L19" i="4"/>
  <c r="M19" i="4" s="1"/>
  <c r="CD17" i="3"/>
  <c r="CE17" i="3"/>
  <c r="L27" i="4"/>
  <c r="M27" i="4" s="1"/>
  <c r="CD25" i="3"/>
  <c r="CE25" i="3"/>
  <c r="L31" i="4"/>
  <c r="CD29" i="3"/>
  <c r="CE29" i="3"/>
  <c r="L18" i="4"/>
  <c r="CD16" i="3"/>
  <c r="CE16" i="3"/>
  <c r="L26" i="4"/>
  <c r="M26" i="4" s="1"/>
  <c r="CD24" i="3"/>
  <c r="CE24" i="3"/>
  <c r="L34" i="4"/>
  <c r="M34" i="4" s="1"/>
  <c r="CD32" i="3"/>
  <c r="CE32" i="3"/>
  <c r="L13" i="4"/>
  <c r="M13" i="4" s="1"/>
  <c r="CE11" i="3"/>
  <c r="CD11" i="3"/>
  <c r="L17" i="4"/>
  <c r="M17" i="4" s="1"/>
  <c r="CE15" i="3"/>
  <c r="CD15" i="3"/>
  <c r="L21" i="4"/>
  <c r="M21" i="4" s="1"/>
  <c r="CE19" i="3"/>
  <c r="CD19" i="3"/>
  <c r="T23" i="4"/>
  <c r="L25" i="4"/>
  <c r="M25" i="4" s="1"/>
  <c r="CE23" i="3"/>
  <c r="CD23" i="3"/>
  <c r="L29" i="4"/>
  <c r="M29" i="4" s="1"/>
  <c r="CE27" i="3"/>
  <c r="CD27" i="3"/>
  <c r="D30" i="4"/>
  <c r="L33" i="4"/>
  <c r="CE31" i="3"/>
  <c r="CD31" i="3"/>
  <c r="D34" i="4"/>
  <c r="L11" i="4"/>
  <c r="M11" i="4" s="1"/>
  <c r="CD9" i="3"/>
  <c r="CE9" i="3"/>
  <c r="L23" i="4"/>
  <c r="M23" i="4" s="1"/>
  <c r="CD21" i="3"/>
  <c r="CE21" i="3"/>
  <c r="L10" i="4"/>
  <c r="M10" i="4" s="1"/>
  <c r="CD8" i="3"/>
  <c r="CE8" i="3"/>
  <c r="L14" i="4"/>
  <c r="M14" i="4" s="1"/>
  <c r="CD12" i="3"/>
  <c r="CE12" i="3"/>
  <c r="L22" i="4"/>
  <c r="M22" i="4" s="1"/>
  <c r="CD20" i="3"/>
  <c r="CE20" i="3"/>
  <c r="L30" i="4"/>
  <c r="M30" i="4" s="1"/>
  <c r="CD28" i="3"/>
  <c r="CE28" i="3"/>
  <c r="L9" i="4"/>
  <c r="M9" i="4" s="1"/>
  <c r="CE7" i="3"/>
  <c r="CD7" i="3"/>
  <c r="L12" i="4"/>
  <c r="M12" i="4" s="1"/>
  <c r="CE10" i="3"/>
  <c r="CD10" i="3"/>
  <c r="L16" i="4"/>
  <c r="CE14" i="3"/>
  <c r="CD14" i="3"/>
  <c r="L20" i="4"/>
  <c r="M20" i="4" s="1"/>
  <c r="CE18" i="3"/>
  <c r="CD18" i="3"/>
  <c r="L24" i="4"/>
  <c r="CE22" i="3"/>
  <c r="CD22" i="3"/>
  <c r="L28" i="4"/>
  <c r="CE26" i="3"/>
  <c r="CD26" i="3"/>
  <c r="L32" i="4"/>
  <c r="CE30" i="3"/>
  <c r="CD30" i="3"/>
  <c r="G19" i="4"/>
  <c r="P20" i="4"/>
  <c r="P11" i="4"/>
  <c r="M18" i="4"/>
  <c r="S20" i="4"/>
  <c r="S11" i="4"/>
  <c r="S15" i="4"/>
  <c r="J19" i="4"/>
  <c r="J18" i="4"/>
  <c r="J22" i="4"/>
  <c r="J13" i="4"/>
  <c r="J17" i="4"/>
  <c r="D15" i="4"/>
  <c r="D20" i="4"/>
  <c r="AF7" i="3"/>
  <c r="S30" i="4"/>
  <c r="D27" i="4"/>
  <c r="J29" i="4"/>
  <c r="S31" i="4"/>
  <c r="M33" i="4"/>
  <c r="S27" i="4"/>
  <c r="D31" i="4"/>
  <c r="J33" i="4"/>
  <c r="G22" i="4"/>
  <c r="G24" i="4"/>
  <c r="D25" i="4"/>
  <c r="S25" i="4"/>
  <c r="P25" i="4"/>
  <c r="J9" i="4"/>
  <c r="P10" i="4"/>
  <c r="J11" i="4"/>
  <c r="J12" i="4"/>
  <c r="G13" i="4"/>
  <c r="P14" i="4"/>
  <c r="J15" i="4"/>
  <c r="M15" i="4"/>
  <c r="J16" i="4"/>
  <c r="G17" i="4"/>
  <c r="D18" i="4"/>
  <c r="S18" i="4"/>
  <c r="D19" i="4"/>
  <c r="S19" i="4"/>
  <c r="D22" i="4"/>
  <c r="S22" i="4"/>
  <c r="P23" i="4"/>
  <c r="G27" i="4"/>
  <c r="D28" i="4"/>
  <c r="S28" i="4"/>
  <c r="P28" i="4"/>
  <c r="J30" i="4"/>
  <c r="G31" i="4"/>
  <c r="D32" i="4"/>
  <c r="S32" i="4"/>
  <c r="P32" i="4"/>
  <c r="J34" i="4"/>
  <c r="G20" i="4"/>
  <c r="D21" i="4"/>
  <c r="S21" i="4"/>
  <c r="P21" i="4"/>
  <c r="J24" i="4"/>
  <c r="M24" i="4"/>
  <c r="G25" i="4"/>
  <c r="P26" i="4"/>
  <c r="J27" i="4"/>
  <c r="J31" i="4"/>
  <c r="M31" i="4"/>
  <c r="CR7" i="3"/>
  <c r="M9" i="2" s="1"/>
  <c r="K9" i="2"/>
  <c r="CQ9" i="3"/>
  <c r="L11" i="2" s="1"/>
  <c r="J11" i="2"/>
  <c r="CR14" i="3"/>
  <c r="M16" i="2" s="1"/>
  <c r="K16" i="2"/>
  <c r="CQ19" i="3"/>
  <c r="L21" i="2" s="1"/>
  <c r="J21" i="2"/>
  <c r="CR27" i="3"/>
  <c r="M29" i="2" s="1"/>
  <c r="K29" i="2"/>
  <c r="CQ30" i="3"/>
  <c r="L32" i="2" s="1"/>
  <c r="J32" i="2"/>
  <c r="CQ8" i="3"/>
  <c r="L10" i="2" s="1"/>
  <c r="J10" i="2"/>
  <c r="D13" i="4"/>
  <c r="P13" i="4"/>
  <c r="G16" i="4"/>
  <c r="P17" i="4"/>
  <c r="P18" i="4"/>
  <c r="CQ18" i="3"/>
  <c r="L20" i="2" s="1"/>
  <c r="J20" i="2"/>
  <c r="J21" i="4"/>
  <c r="D24" i="4"/>
  <c r="P24" i="4"/>
  <c r="CQ25" i="3"/>
  <c r="L27" i="2" s="1"/>
  <c r="J27" i="2"/>
  <c r="J28" i="4"/>
  <c r="CQ29" i="3"/>
  <c r="L31" i="2" s="1"/>
  <c r="J31" i="2"/>
  <c r="J32" i="4"/>
  <c r="G33" i="4"/>
  <c r="P34" i="4"/>
  <c r="N35" i="2"/>
  <c r="S9" i="4"/>
  <c r="P9" i="4"/>
  <c r="J10" i="4"/>
  <c r="CR8" i="3"/>
  <c r="M10" i="2" s="1"/>
  <c r="K10" i="2"/>
  <c r="G10" i="4"/>
  <c r="G11" i="4"/>
  <c r="S12" i="4"/>
  <c r="P12" i="4"/>
  <c r="CQ11" i="3"/>
  <c r="L13" i="2" s="1"/>
  <c r="J13" i="2"/>
  <c r="J14" i="4"/>
  <c r="CR12" i="3"/>
  <c r="M14" i="2" s="1"/>
  <c r="K14" i="2"/>
  <c r="G14" i="4"/>
  <c r="P15" i="4"/>
  <c r="G15" i="4"/>
  <c r="D16" i="4"/>
  <c r="S16" i="4"/>
  <c r="P16" i="4"/>
  <c r="CQ15" i="3"/>
  <c r="L17" i="2" s="1"/>
  <c r="J17" i="2"/>
  <c r="CQ16" i="3"/>
  <c r="L18" i="2" s="1"/>
  <c r="J18" i="2"/>
  <c r="CR17" i="3"/>
  <c r="M19" i="2" s="1"/>
  <c r="K19" i="2"/>
  <c r="J20" i="4"/>
  <c r="CR18" i="3"/>
  <c r="M20" i="2" s="1"/>
  <c r="K20" i="2"/>
  <c r="G21" i="4"/>
  <c r="P22" i="4"/>
  <c r="D23" i="4"/>
  <c r="S23" i="4"/>
  <c r="CQ22" i="3"/>
  <c r="L24" i="2" s="1"/>
  <c r="J24" i="2"/>
  <c r="J25" i="4"/>
  <c r="CR23" i="3"/>
  <c r="M25" i="2" s="1"/>
  <c r="K25" i="2"/>
  <c r="J26" i="4"/>
  <c r="CR24" i="3"/>
  <c r="M26" i="2" s="1"/>
  <c r="K26" i="2"/>
  <c r="G26" i="4"/>
  <c r="CR25" i="3"/>
  <c r="M27" i="2" s="1"/>
  <c r="K27" i="2"/>
  <c r="G28" i="4"/>
  <c r="D29" i="4"/>
  <c r="S29" i="4"/>
  <c r="P29" i="4"/>
  <c r="CQ28" i="3"/>
  <c r="L30" i="2" s="1"/>
  <c r="J30" i="2"/>
  <c r="CR29" i="3"/>
  <c r="M31" i="2" s="1"/>
  <c r="K31" i="2"/>
  <c r="G32" i="4"/>
  <c r="D33" i="4"/>
  <c r="S33" i="4"/>
  <c r="P33" i="4"/>
  <c r="CQ32" i="3"/>
  <c r="L34" i="2" s="1"/>
  <c r="J34" i="2"/>
  <c r="CR10" i="3"/>
  <c r="M12" i="2" s="1"/>
  <c r="K12" i="2"/>
  <c r="CQ13" i="3"/>
  <c r="L15" i="2" s="1"/>
  <c r="J15" i="2"/>
  <c r="CR20" i="3"/>
  <c r="M22" i="2" s="1"/>
  <c r="K22" i="2"/>
  <c r="CR21" i="3"/>
  <c r="M23" i="2" s="1"/>
  <c r="K23" i="2"/>
  <c r="CQ26" i="3"/>
  <c r="L28" i="2" s="1"/>
  <c r="J28" i="2"/>
  <c r="CR31" i="3"/>
  <c r="M33" i="2" s="1"/>
  <c r="K33" i="2"/>
  <c r="CR9" i="3"/>
  <c r="M11" i="2" s="1"/>
  <c r="K11" i="2"/>
  <c r="G12" i="4"/>
  <c r="S13" i="4"/>
  <c r="CQ12" i="3"/>
  <c r="L14" i="2" s="1"/>
  <c r="J14" i="2"/>
  <c r="CR13" i="3"/>
  <c r="M15" i="2" s="1"/>
  <c r="K15" i="2"/>
  <c r="D17" i="4"/>
  <c r="S17" i="4"/>
  <c r="CQ17" i="3"/>
  <c r="L19" i="2" s="1"/>
  <c r="J19" i="2"/>
  <c r="CR19" i="3"/>
  <c r="M21" i="2" s="1"/>
  <c r="K21" i="2"/>
  <c r="G23" i="4"/>
  <c r="S24" i="4"/>
  <c r="CQ23" i="3"/>
  <c r="L25" i="2" s="1"/>
  <c r="J25" i="2"/>
  <c r="CQ24" i="3"/>
  <c r="L26" i="2" s="1"/>
  <c r="J26" i="2"/>
  <c r="M28" i="4"/>
  <c r="CR26" i="3"/>
  <c r="M28" i="2" s="1"/>
  <c r="K28" i="2"/>
  <c r="G29" i="4"/>
  <c r="P30" i="4"/>
  <c r="M32" i="4"/>
  <c r="CR30" i="3"/>
  <c r="M32" i="2" s="1"/>
  <c r="K32" i="2"/>
  <c r="S10" i="4"/>
  <c r="CQ10" i="3"/>
  <c r="L12" i="2" s="1"/>
  <c r="J12" i="2"/>
  <c r="CR11" i="3"/>
  <c r="M13" i="2" s="1"/>
  <c r="K13" i="2"/>
  <c r="D14" i="4"/>
  <c r="S14" i="4"/>
  <c r="CC14" i="3"/>
  <c r="K16" i="4"/>
  <c r="CQ14" i="3"/>
  <c r="L16" i="2" s="1"/>
  <c r="J16" i="2"/>
  <c r="CR15" i="3"/>
  <c r="M17" i="2" s="1"/>
  <c r="K17" i="2"/>
  <c r="CR16" i="3"/>
  <c r="M18" i="2" s="1"/>
  <c r="K18" i="2"/>
  <c r="G18" i="4"/>
  <c r="P19" i="4"/>
  <c r="CQ20" i="3"/>
  <c r="L22" i="2" s="1"/>
  <c r="J22" i="2"/>
  <c r="J23" i="4"/>
  <c r="CQ21" i="3"/>
  <c r="L23" i="2" s="1"/>
  <c r="J23" i="2"/>
  <c r="CR22" i="3"/>
  <c r="M24" i="2" s="1"/>
  <c r="K24" i="2"/>
  <c r="D26" i="4"/>
  <c r="S26" i="4"/>
  <c r="P27" i="4"/>
  <c r="CQ27" i="3"/>
  <c r="L29" i="2" s="1"/>
  <c r="J29" i="2"/>
  <c r="CR28" i="3"/>
  <c r="M30" i="2" s="1"/>
  <c r="K30" i="2"/>
  <c r="G30" i="4"/>
  <c r="P31" i="4"/>
  <c r="CQ31" i="3"/>
  <c r="L33" i="2" s="1"/>
  <c r="J33" i="2"/>
  <c r="CR32" i="3"/>
  <c r="M34" i="2" s="1"/>
  <c r="K34" i="2"/>
  <c r="G34" i="4"/>
  <c r="CC24" i="3"/>
  <c r="AE28" i="3"/>
  <c r="AE21" i="3"/>
  <c r="AL21" i="3"/>
  <c r="BA21" i="3"/>
  <c r="AZ51" i="3" s="1"/>
  <c r="BQ18" i="3"/>
  <c r="AL9" i="3"/>
  <c r="F11" i="2" s="1"/>
  <c r="AK10" i="3"/>
  <c r="E12" i="2" s="1"/>
  <c r="AD12" i="3"/>
  <c r="AK12" i="3"/>
  <c r="E14" i="2" s="1"/>
  <c r="BQ15" i="3"/>
  <c r="DI16" i="3"/>
  <c r="AE30" i="3"/>
  <c r="AL30" i="3"/>
  <c r="F32" i="2" s="1"/>
  <c r="BQ30" i="3"/>
  <c r="DI30" i="3"/>
  <c r="AD13" i="3"/>
  <c r="AH13" i="3" s="1"/>
  <c r="AK13" i="3"/>
  <c r="E15" i="2" s="1"/>
  <c r="AZ15" i="3"/>
  <c r="DI18" i="3"/>
  <c r="DI28" i="3"/>
  <c r="DH30" i="3"/>
  <c r="DI9" i="3"/>
  <c r="CJ26" i="3"/>
  <c r="BQ28" i="3"/>
  <c r="BV11" i="3"/>
  <c r="DI19" i="3"/>
  <c r="AK27" i="3"/>
  <c r="E29" i="2" s="1"/>
  <c r="BQ27" i="3"/>
  <c r="CJ14" i="3"/>
  <c r="BV15" i="3"/>
  <c r="DH28" i="3"/>
  <c r="CJ7" i="3"/>
  <c r="CC18" i="3"/>
  <c r="BV18" i="3"/>
  <c r="BV19" i="3"/>
  <c r="BV9" i="3"/>
  <c r="BV14" i="3"/>
  <c r="BV13" i="3"/>
  <c r="AL25" i="3"/>
  <c r="F27" i="2" s="1"/>
  <c r="AK8" i="3"/>
  <c r="E10" i="2" s="1"/>
  <c r="DI10" i="3"/>
  <c r="DI14" i="3"/>
  <c r="DI23" i="3"/>
  <c r="DI11" i="3"/>
  <c r="AE14" i="3"/>
  <c r="AJ14" i="3" s="1"/>
  <c r="DI15" i="3"/>
  <c r="BA23" i="3"/>
  <c r="AZ53" i="3" s="1"/>
  <c r="DI32" i="3"/>
  <c r="DI8" i="3"/>
  <c r="BA15" i="3"/>
  <c r="DI21" i="3"/>
  <c r="AE24" i="3"/>
  <c r="AJ24" i="3" s="1"/>
  <c r="AL24" i="3"/>
  <c r="F26" i="2" s="1"/>
  <c r="BA24" i="3"/>
  <c r="AZ54" i="3" s="1"/>
  <c r="DI27" i="3"/>
  <c r="AE32" i="3"/>
  <c r="AJ32" i="3" s="1"/>
  <c r="AL32" i="3"/>
  <c r="F34" i="2" s="1"/>
  <c r="BA32" i="3"/>
  <c r="AZ62" i="3" s="1"/>
  <c r="DH23" i="3"/>
  <c r="DH11" i="3"/>
  <c r="DJ11" i="3" s="1"/>
  <c r="AD20" i="3"/>
  <c r="AH20" i="3" s="1"/>
  <c r="AK20" i="3"/>
  <c r="E22" i="2" s="1"/>
  <c r="DH27" i="3"/>
  <c r="DH14" i="3"/>
  <c r="DH20" i="3"/>
  <c r="AD23" i="3"/>
  <c r="AH23" i="3" s="1"/>
  <c r="AK23" i="3"/>
  <c r="E25" i="2" s="1"/>
  <c r="DH22" i="3"/>
  <c r="CJ8" i="3"/>
  <c r="BQ12" i="3"/>
  <c r="DI13" i="3"/>
  <c r="CC27" i="3"/>
  <c r="DH16" i="3"/>
  <c r="AZ17" i="3"/>
  <c r="BQ24" i="3"/>
  <c r="BV25" i="3"/>
  <c r="BQ32" i="3"/>
  <c r="AL10" i="3"/>
  <c r="F12" i="2" s="1"/>
  <c r="AE11" i="3"/>
  <c r="AJ11" i="3" s="1"/>
  <c r="AL11" i="3"/>
  <c r="F13" i="2" s="1"/>
  <c r="BA11" i="3"/>
  <c r="AZ41" i="3" s="1"/>
  <c r="AE13" i="3"/>
  <c r="AJ13" i="3" s="1"/>
  <c r="AL13" i="3"/>
  <c r="BA13" i="3"/>
  <c r="AZ43" i="3" s="1"/>
  <c r="CC13" i="3"/>
  <c r="CJ16" i="3"/>
  <c r="BV21" i="3"/>
  <c r="CJ21" i="3"/>
  <c r="CC23" i="3"/>
  <c r="CC26" i="3"/>
  <c r="AE29" i="3"/>
  <c r="AJ29" i="3" s="1"/>
  <c r="AL29" i="3"/>
  <c r="F31" i="2" s="1"/>
  <c r="BQ29" i="3"/>
  <c r="DI29" i="3"/>
  <c r="AE31" i="3"/>
  <c r="AJ31" i="3" s="1"/>
  <c r="AL31" i="3"/>
  <c r="F33" i="2" s="1"/>
  <c r="BQ31" i="3"/>
  <c r="DI31" i="3"/>
  <c r="DH8" i="3"/>
  <c r="AK9" i="3"/>
  <c r="E11" i="2" s="1"/>
  <c r="AD10" i="3"/>
  <c r="AH10" i="3" s="1"/>
  <c r="CJ10" i="3"/>
  <c r="DH10" i="3"/>
  <c r="AZ11" i="3"/>
  <c r="DH12" i="3"/>
  <c r="DH13" i="3"/>
  <c r="AL14" i="3"/>
  <c r="AE15" i="3"/>
  <c r="AJ15" i="3" s="1"/>
  <c r="AL15" i="3"/>
  <c r="F17" i="2" s="1"/>
  <c r="CJ15" i="3"/>
  <c r="BA17" i="3"/>
  <c r="AZ47" i="3" s="1"/>
  <c r="BQ17" i="3"/>
  <c r="AD18" i="3"/>
  <c r="AH18" i="3" s="1"/>
  <c r="AK18" i="3"/>
  <c r="E20" i="2" s="1"/>
  <c r="DH18" i="3"/>
  <c r="BV20" i="3"/>
  <c r="AZ23" i="3"/>
  <c r="AD24" i="3"/>
  <c r="AH24" i="3" s="1"/>
  <c r="AK24" i="3"/>
  <c r="E26" i="2" s="1"/>
  <c r="AZ24" i="3"/>
  <c r="AK26" i="3"/>
  <c r="E28" i="2" s="1"/>
  <c r="AE27" i="3"/>
  <c r="AJ27" i="3" s="1"/>
  <c r="AZ27" i="3"/>
  <c r="DH29" i="3"/>
  <c r="DH31" i="3"/>
  <c r="AZ26" i="3"/>
  <c r="BQ8" i="3"/>
  <c r="CC8" i="3"/>
  <c r="BQ9" i="3"/>
  <c r="CC9" i="3"/>
  <c r="BQ10" i="3"/>
  <c r="CC10" i="3"/>
  <c r="BV12" i="3"/>
  <c r="BQ22" i="3"/>
  <c r="CJ25" i="3"/>
  <c r="O33" i="3"/>
  <c r="E9" i="2"/>
  <c r="AL8" i="3"/>
  <c r="F10" i="2" s="1"/>
  <c r="AL12" i="3"/>
  <c r="F14" i="2" s="1"/>
  <c r="DI12" i="3"/>
  <c r="BA14" i="3"/>
  <c r="AZ44" i="3" s="1"/>
  <c r="BQ14" i="3"/>
  <c r="BV17" i="3"/>
  <c r="DH17" i="3"/>
  <c r="DI20" i="3"/>
  <c r="DJ20" i="3" s="1"/>
  <c r="BQ21" i="3"/>
  <c r="BA25" i="3"/>
  <c r="BV27" i="3"/>
  <c r="AZ28" i="3"/>
  <c r="BV28" i="3"/>
  <c r="AZ29" i="3"/>
  <c r="BV29" i="3"/>
  <c r="AZ30" i="3"/>
  <c r="BV30" i="3"/>
  <c r="AZ31" i="3"/>
  <c r="BV31" i="3"/>
  <c r="BS33" i="3"/>
  <c r="CJ9" i="3"/>
  <c r="DH9" i="3"/>
  <c r="AE10" i="3"/>
  <c r="AJ10" i="3" s="1"/>
  <c r="BQ11" i="3"/>
  <c r="CC12" i="3"/>
  <c r="BA16" i="3"/>
  <c r="DI17" i="3"/>
  <c r="BA18" i="3"/>
  <c r="BV22" i="3"/>
  <c r="CJ22" i="3"/>
  <c r="BQ26" i="3"/>
  <c r="CJ27" i="3"/>
  <c r="CC11" i="3"/>
  <c r="AE12" i="3"/>
  <c r="AJ12" i="3" s="1"/>
  <c r="AK14" i="3"/>
  <c r="E16" i="2" s="1"/>
  <c r="BL33" i="3"/>
  <c r="CI33" i="3"/>
  <c r="O35" i="4" s="1"/>
  <c r="O37" i="4" s="1"/>
  <c r="BV8" i="3"/>
  <c r="AD9" i="3"/>
  <c r="AH9" i="3" s="1"/>
  <c r="BV10" i="3"/>
  <c r="AD11" i="3"/>
  <c r="AK11" i="3"/>
  <c r="E13" i="2" s="1"/>
  <c r="AZ12" i="3"/>
  <c r="BA12" i="3"/>
  <c r="AZ42" i="3" s="1"/>
  <c r="CJ12" i="3"/>
  <c r="AZ13" i="3"/>
  <c r="AZ14" i="3"/>
  <c r="AE16" i="3"/>
  <c r="AL16" i="3"/>
  <c r="F18" i="2" s="1"/>
  <c r="BV16" i="3"/>
  <c r="AE17" i="3"/>
  <c r="AJ17" i="3" s="1"/>
  <c r="AL17" i="3"/>
  <c r="F19" i="2" s="1"/>
  <c r="CJ17" i="3"/>
  <c r="CJ18" i="3"/>
  <c r="AZ19" i="3"/>
  <c r="AZ20" i="3"/>
  <c r="BA20" i="3"/>
  <c r="AZ50" i="3" s="1"/>
  <c r="BQ20" i="3"/>
  <c r="AK22" i="3"/>
  <c r="E24" i="2" s="1"/>
  <c r="DI22" i="3"/>
  <c r="BV24" i="3"/>
  <c r="CJ24" i="3"/>
  <c r="AE25" i="3"/>
  <c r="AJ25" i="3" s="1"/>
  <c r="DH25" i="3"/>
  <c r="DJ25" i="3" s="1"/>
  <c r="BV26" i="3"/>
  <c r="AD27" i="3"/>
  <c r="AH27" i="3" s="1"/>
  <c r="AD28" i="3"/>
  <c r="AK28" i="3"/>
  <c r="CC28" i="3"/>
  <c r="AD29" i="3"/>
  <c r="AK29" i="3"/>
  <c r="E31" i="2" s="1"/>
  <c r="CC29" i="3"/>
  <c r="AD30" i="3"/>
  <c r="AH30" i="3" s="1"/>
  <c r="AK30" i="3"/>
  <c r="CC30" i="3"/>
  <c r="AD31" i="3"/>
  <c r="AK31" i="3"/>
  <c r="E33" i="2" s="1"/>
  <c r="CC31" i="3"/>
  <c r="BQ13" i="3"/>
  <c r="AD14" i="3"/>
  <c r="AH14" i="3" s="1"/>
  <c r="DH15" i="3"/>
  <c r="AD16" i="3"/>
  <c r="AH16" i="3" s="1"/>
  <c r="AK16" i="3"/>
  <c r="E18" i="2" s="1"/>
  <c r="BQ16" i="3"/>
  <c r="CC16" i="3"/>
  <c r="AE18" i="3"/>
  <c r="AL18" i="3"/>
  <c r="F20" i="2" s="1"/>
  <c r="AE19" i="3"/>
  <c r="AJ19" i="3" s="1"/>
  <c r="AL19" i="3"/>
  <c r="F21" i="2" s="1"/>
  <c r="BA19" i="3"/>
  <c r="BQ19" i="3"/>
  <c r="AE20" i="3"/>
  <c r="AJ20" i="3" s="1"/>
  <c r="AL20" i="3"/>
  <c r="F22" i="2" s="1"/>
  <c r="G22" i="2" s="1"/>
  <c r="AE22" i="3"/>
  <c r="AL22" i="3"/>
  <c r="F24" i="2" s="1"/>
  <c r="G24" i="2" s="1"/>
  <c r="BA22" i="3"/>
  <c r="AZ52" i="3" s="1"/>
  <c r="AE23" i="3"/>
  <c r="AL23" i="3"/>
  <c r="F25" i="2" s="1"/>
  <c r="G25" i="2" s="1"/>
  <c r="BV23" i="3"/>
  <c r="BQ25" i="3"/>
  <c r="AE26" i="3"/>
  <c r="AJ26" i="3" s="1"/>
  <c r="DH26" i="3"/>
  <c r="BA28" i="3"/>
  <c r="AZ58" i="3" s="1"/>
  <c r="CJ28" i="3"/>
  <c r="BA29" i="3"/>
  <c r="AZ59" i="3" s="1"/>
  <c r="CJ29" i="3"/>
  <c r="BA30" i="3"/>
  <c r="AZ60" i="3" s="1"/>
  <c r="CJ30" i="3"/>
  <c r="BA31" i="3"/>
  <c r="AZ61" i="3" s="1"/>
  <c r="CJ31" i="3"/>
  <c r="S33" i="3"/>
  <c r="F9" i="2"/>
  <c r="G9" i="2" s="1"/>
  <c r="C9" i="2"/>
  <c r="AS33" i="3"/>
  <c r="BG33" i="3"/>
  <c r="AD8" i="3"/>
  <c r="DH32" i="3"/>
  <c r="AZ32" i="3"/>
  <c r="AD32" i="3"/>
  <c r="AY33" i="3"/>
  <c r="B9" i="2"/>
  <c r="AR33" i="3"/>
  <c r="CB33" i="3"/>
  <c r="CE33" i="3" s="1"/>
  <c r="CC7" i="3"/>
  <c r="DB33" i="3"/>
  <c r="AE9" i="3"/>
  <c r="CJ11" i="3"/>
  <c r="BN33" i="3"/>
  <c r="BU33" i="3"/>
  <c r="CN33" i="3"/>
  <c r="DL33" i="3"/>
  <c r="AE8" i="3"/>
  <c r="AD15" i="3"/>
  <c r="AD17" i="3"/>
  <c r="CJ19" i="3"/>
  <c r="DH19" i="3"/>
  <c r="CJ20" i="3"/>
  <c r="AD22" i="3"/>
  <c r="AZ22" i="3"/>
  <c r="BA27" i="3"/>
  <c r="AZ57" i="3" s="1"/>
  <c r="F33" i="3"/>
  <c r="AX33" i="3"/>
  <c r="BP33" i="3"/>
  <c r="BV7" i="3"/>
  <c r="CP33" i="3"/>
  <c r="DN33" i="3"/>
  <c r="F35" i="4" s="1"/>
  <c r="F37" i="4" s="1"/>
  <c r="K33" i="3"/>
  <c r="AC33" i="3"/>
  <c r="BQ7" i="3"/>
  <c r="BX33" i="3"/>
  <c r="CQ7" i="3"/>
  <c r="CW33" i="3"/>
  <c r="O35" i="2" s="1"/>
  <c r="AK15" i="3"/>
  <c r="E17" i="2" s="1"/>
  <c r="AK17" i="3"/>
  <c r="E19" i="2" s="1"/>
  <c r="AD19" i="3"/>
  <c r="AK19" i="3"/>
  <c r="E21" i="2" s="1"/>
  <c r="CC19" i="3"/>
  <c r="CC20" i="3"/>
  <c r="DH21" i="3"/>
  <c r="DI24" i="3"/>
  <c r="DJ24" i="3" s="1"/>
  <c r="AD25" i="3"/>
  <c r="DG33" i="3"/>
  <c r="AD21" i="3"/>
  <c r="AZ21" i="3"/>
  <c r="BA26" i="3"/>
  <c r="AZ56" i="3" s="1"/>
  <c r="X33" i="3"/>
  <c r="CG33" i="3"/>
  <c r="CJ13" i="3"/>
  <c r="CC15" i="3"/>
  <c r="CC17" i="3"/>
  <c r="CC21" i="3"/>
  <c r="CC22" i="3"/>
  <c r="BQ23" i="3"/>
  <c r="AK25" i="3"/>
  <c r="E27" i="2" s="1"/>
  <c r="AD26" i="3"/>
  <c r="CJ23" i="3"/>
  <c r="CC25" i="3"/>
  <c r="AL26" i="3"/>
  <c r="F28" i="2" s="1"/>
  <c r="DI26" i="3"/>
  <c r="AL27" i="3"/>
  <c r="F29" i="2" s="1"/>
  <c r="AK32" i="3"/>
  <c r="E34" i="2" s="1"/>
  <c r="M16" i="4" l="1"/>
  <c r="CD33" i="3"/>
  <c r="B17" i="2"/>
  <c r="H17" i="2" s="1"/>
  <c r="AH15" i="3"/>
  <c r="C23" i="2"/>
  <c r="AJ21" i="3"/>
  <c r="C10" i="2"/>
  <c r="I10" i="2" s="1"/>
  <c r="AJ8" i="3"/>
  <c r="B10" i="2"/>
  <c r="H10" i="2" s="1"/>
  <c r="AH8" i="3"/>
  <c r="B33" i="2"/>
  <c r="H33" i="2" s="1"/>
  <c r="AH31" i="3"/>
  <c r="C18" i="2"/>
  <c r="I18" i="2" s="1"/>
  <c r="AJ16" i="3"/>
  <c r="CT28" i="3"/>
  <c r="AJ28" i="3"/>
  <c r="C25" i="2"/>
  <c r="I25" i="2" s="1"/>
  <c r="AJ23" i="3"/>
  <c r="B28" i="2"/>
  <c r="AH26" i="3"/>
  <c r="B23" i="2"/>
  <c r="H23" i="2" s="1"/>
  <c r="AH21" i="3"/>
  <c r="B21" i="2"/>
  <c r="AH19" i="3"/>
  <c r="B34" i="2"/>
  <c r="H34" i="2" s="1"/>
  <c r="AH32" i="3"/>
  <c r="B30" i="2"/>
  <c r="AH28" i="3"/>
  <c r="C32" i="2"/>
  <c r="AJ30" i="3"/>
  <c r="B14" i="2"/>
  <c r="AH12" i="3"/>
  <c r="B27" i="2"/>
  <c r="H27" i="2" s="1"/>
  <c r="AH25" i="3"/>
  <c r="B13" i="2"/>
  <c r="H13" i="2" s="1"/>
  <c r="AH11" i="3"/>
  <c r="B24" i="2"/>
  <c r="H24" i="2" s="1"/>
  <c r="AH22" i="3"/>
  <c r="B19" i="2"/>
  <c r="H19" i="2" s="1"/>
  <c r="AH17" i="3"/>
  <c r="C11" i="2"/>
  <c r="I11" i="2" s="1"/>
  <c r="AJ9" i="3"/>
  <c r="C24" i="2"/>
  <c r="I24" i="2" s="1"/>
  <c r="AJ22" i="3"/>
  <c r="C20" i="2"/>
  <c r="I20" i="2" s="1"/>
  <c r="AJ18" i="3"/>
  <c r="B31" i="2"/>
  <c r="H31" i="2" s="1"/>
  <c r="AH29" i="3"/>
  <c r="G29" i="2"/>
  <c r="G19" i="2"/>
  <c r="H28" i="2"/>
  <c r="G20" i="2"/>
  <c r="G28" i="2"/>
  <c r="DJ30" i="3"/>
  <c r="DJ16" i="3"/>
  <c r="G18" i="2"/>
  <c r="G33" i="2"/>
  <c r="G31" i="2"/>
  <c r="H14" i="2"/>
  <c r="H9" i="2"/>
  <c r="G14" i="2"/>
  <c r="G27" i="2"/>
  <c r="K35" i="2"/>
  <c r="K37" i="2" s="1"/>
  <c r="R35" i="4"/>
  <c r="R37" i="4" s="1"/>
  <c r="B29" i="2"/>
  <c r="H29" i="2" s="1"/>
  <c r="G13" i="2"/>
  <c r="B15" i="2"/>
  <c r="H15" i="2" s="1"/>
  <c r="I9" i="2"/>
  <c r="D9" i="2"/>
  <c r="C28" i="2"/>
  <c r="AF30" i="3"/>
  <c r="B32" i="2"/>
  <c r="C33" i="2"/>
  <c r="C31" i="2"/>
  <c r="AM13" i="3"/>
  <c r="F15" i="2"/>
  <c r="G15" i="2" s="1"/>
  <c r="C35" i="4"/>
  <c r="C37" i="4" s="1"/>
  <c r="BB18" i="3"/>
  <c r="AZ48" i="3"/>
  <c r="CR33" i="3"/>
  <c r="M35" i="2" s="1"/>
  <c r="G10" i="2"/>
  <c r="C29" i="2"/>
  <c r="B26" i="2"/>
  <c r="H26" i="2" s="1"/>
  <c r="AF13" i="3"/>
  <c r="C15" i="2"/>
  <c r="G12" i="2"/>
  <c r="B25" i="2"/>
  <c r="H25" i="2" s="1"/>
  <c r="BB15" i="3"/>
  <c r="AZ45" i="3"/>
  <c r="AZ63" i="3" s="1"/>
  <c r="G11" i="2"/>
  <c r="D24" i="2"/>
  <c r="BB19" i="3"/>
  <c r="AZ49" i="3"/>
  <c r="B18" i="2"/>
  <c r="H18" i="2" s="1"/>
  <c r="AM30" i="3"/>
  <c r="E32" i="2"/>
  <c r="G32" i="2" s="1"/>
  <c r="C14" i="2"/>
  <c r="BB16" i="3"/>
  <c r="AZ46" i="3"/>
  <c r="C17" i="2"/>
  <c r="C34" i="2"/>
  <c r="C26" i="2"/>
  <c r="I32" i="2"/>
  <c r="H35" i="4"/>
  <c r="H37" i="4" s="1"/>
  <c r="G21" i="2"/>
  <c r="BB25" i="3"/>
  <c r="AZ55" i="3"/>
  <c r="CT14" i="3"/>
  <c r="F16" i="2"/>
  <c r="G16" i="2" s="1"/>
  <c r="C13" i="2"/>
  <c r="AM21" i="3"/>
  <c r="F23" i="2"/>
  <c r="G23" i="2" s="1"/>
  <c r="N35" i="4"/>
  <c r="H21" i="2"/>
  <c r="CQ33" i="3"/>
  <c r="L35" i="2" s="1"/>
  <c r="L9" i="2"/>
  <c r="I35" i="4"/>
  <c r="I37" i="4" s="1"/>
  <c r="E35" i="4"/>
  <c r="L35" i="4"/>
  <c r="L37" i="4" s="1"/>
  <c r="C22" i="2"/>
  <c r="C21" i="2"/>
  <c r="B16" i="2"/>
  <c r="H16" i="2" s="1"/>
  <c r="AM28" i="3"/>
  <c r="E30" i="2"/>
  <c r="G30" i="2" s="1"/>
  <c r="K35" i="4"/>
  <c r="K37" i="4" s="1"/>
  <c r="J35" i="2"/>
  <c r="J37" i="2" s="1"/>
  <c r="B35" i="4"/>
  <c r="B37" i="4" s="1"/>
  <c r="C27" i="2"/>
  <c r="C19" i="2"/>
  <c r="B11" i="2"/>
  <c r="H11" i="2" s="1"/>
  <c r="C12" i="2"/>
  <c r="Q35" i="4"/>
  <c r="Q37" i="4" s="1"/>
  <c r="B20" i="2"/>
  <c r="H20" i="2" s="1"/>
  <c r="G17" i="2"/>
  <c r="B12" i="2"/>
  <c r="H12" i="2" s="1"/>
  <c r="B22" i="2"/>
  <c r="H22" i="2" s="1"/>
  <c r="G34" i="2"/>
  <c r="G26" i="2"/>
  <c r="C16" i="2"/>
  <c r="C30" i="2"/>
  <c r="CT30" i="3"/>
  <c r="AM12" i="3"/>
  <c r="CS12" i="3"/>
  <c r="DJ10" i="3"/>
  <c r="BB21" i="3"/>
  <c r="DJ32" i="3"/>
  <c r="DJ28" i="3"/>
  <c r="CT21" i="3"/>
  <c r="CT19" i="3"/>
  <c r="AM31" i="3"/>
  <c r="AF14" i="3"/>
  <c r="AM27" i="3"/>
  <c r="AF32" i="3"/>
  <c r="CT25" i="3"/>
  <c r="CT32" i="3"/>
  <c r="CT24" i="3"/>
  <c r="DJ27" i="3"/>
  <c r="AM8" i="3"/>
  <c r="DJ18" i="3"/>
  <c r="DJ15" i="3"/>
  <c r="DJ23" i="3"/>
  <c r="CT31" i="3"/>
  <c r="AM17" i="3"/>
  <c r="DJ9" i="3"/>
  <c r="AM9" i="3"/>
  <c r="CS13" i="3"/>
  <c r="DJ19" i="3"/>
  <c r="AM10" i="3"/>
  <c r="DJ31" i="3"/>
  <c r="CJ33" i="3"/>
  <c r="AF23" i="3"/>
  <c r="AM32" i="3"/>
  <c r="DJ21" i="3"/>
  <c r="BB30" i="3"/>
  <c r="BB28" i="3"/>
  <c r="AF31" i="3"/>
  <c r="AM11" i="3"/>
  <c r="DJ13" i="3"/>
  <c r="CT29" i="3"/>
  <c r="AM25" i="3"/>
  <c r="CS24" i="3"/>
  <c r="CS23" i="3"/>
  <c r="BV33" i="3"/>
  <c r="BB32" i="3"/>
  <c r="BB13" i="3"/>
  <c r="BB11" i="3"/>
  <c r="BB26" i="3"/>
  <c r="BB12" i="3"/>
  <c r="AM19" i="3"/>
  <c r="AM24" i="3"/>
  <c r="CS20" i="3"/>
  <c r="AM23" i="3"/>
  <c r="AM20" i="3"/>
  <c r="CT20" i="3"/>
  <c r="AM14" i="3"/>
  <c r="BB23" i="3"/>
  <c r="BB22" i="3"/>
  <c r="AF20" i="3"/>
  <c r="BB24" i="3"/>
  <c r="DJ8" i="3"/>
  <c r="DJ14" i="3"/>
  <c r="BB17" i="3"/>
  <c r="CS9" i="3"/>
  <c r="BB31" i="3"/>
  <c r="BB29" i="3"/>
  <c r="BB27" i="3"/>
  <c r="CS18" i="3"/>
  <c r="DJ29" i="3"/>
  <c r="CT10" i="3"/>
  <c r="AF19" i="3"/>
  <c r="CT13" i="3"/>
  <c r="AF27" i="3"/>
  <c r="CS10" i="3"/>
  <c r="DJ26" i="3"/>
  <c r="AF10" i="3"/>
  <c r="AM26" i="3"/>
  <c r="AF17" i="3"/>
  <c r="CT11" i="3"/>
  <c r="CT23" i="3"/>
  <c r="AF24" i="3"/>
  <c r="AM15" i="3"/>
  <c r="AF15" i="3"/>
  <c r="CT15" i="3"/>
  <c r="AM22" i="3"/>
  <c r="AM18" i="3"/>
  <c r="CS16" i="3"/>
  <c r="AM29" i="3"/>
  <c r="DJ22" i="3"/>
  <c r="CS11" i="3"/>
  <c r="DJ12" i="3"/>
  <c r="CS28" i="3"/>
  <c r="AF16" i="3"/>
  <c r="CT16" i="3"/>
  <c r="AF11" i="3"/>
  <c r="CT22" i="3"/>
  <c r="CT18" i="3"/>
  <c r="AF18" i="3"/>
  <c r="CS29" i="3"/>
  <c r="DJ17" i="3"/>
  <c r="AF28" i="3"/>
  <c r="AF12" i="3"/>
  <c r="CT17" i="3"/>
  <c r="CT12" i="3"/>
  <c r="CS30" i="3"/>
  <c r="AF29" i="3"/>
  <c r="AF25" i="3"/>
  <c r="AF22" i="3"/>
  <c r="CS31" i="3"/>
  <c r="BB20" i="3"/>
  <c r="AM16" i="3"/>
  <c r="CS14" i="3"/>
  <c r="CS27" i="3"/>
  <c r="BB14" i="3"/>
  <c r="BQ33" i="3"/>
  <c r="DH33" i="3"/>
  <c r="CS8" i="3"/>
  <c r="AE33" i="3"/>
  <c r="CT7" i="3"/>
  <c r="CS21" i="3"/>
  <c r="CS22" i="3"/>
  <c r="DI33" i="3"/>
  <c r="BA33" i="3"/>
  <c r="CS25" i="3"/>
  <c r="CT9" i="3"/>
  <c r="AF9" i="3"/>
  <c r="CC33" i="3"/>
  <c r="CT26" i="3"/>
  <c r="AK33" i="3"/>
  <c r="CS26" i="3"/>
  <c r="CS19" i="3"/>
  <c r="AF8" i="3"/>
  <c r="CT8" i="3"/>
  <c r="AZ33" i="3"/>
  <c r="CT27" i="3"/>
  <c r="CS17" i="3"/>
  <c r="CS15" i="3"/>
  <c r="AD33" i="3"/>
  <c r="CS7" i="3"/>
  <c r="CS32" i="3"/>
  <c r="AF26" i="3"/>
  <c r="AF21" i="3"/>
  <c r="AL33" i="3"/>
  <c r="D23" i="2" l="1"/>
  <c r="D10" i="2"/>
  <c r="D32" i="2"/>
  <c r="M37" i="4"/>
  <c r="D37" i="4"/>
  <c r="S37" i="4"/>
  <c r="G35" i="4"/>
  <c r="E37" i="4"/>
  <c r="G37" i="4" s="1"/>
  <c r="J37" i="4"/>
  <c r="P35" i="4"/>
  <c r="N37" i="4"/>
  <c r="P37" i="4" s="1"/>
  <c r="J35" i="4"/>
  <c r="D35" i="4"/>
  <c r="D25" i="2"/>
  <c r="H30" i="2"/>
  <c r="D18" i="2"/>
  <c r="D11" i="2"/>
  <c r="I16" i="2"/>
  <c r="D16" i="2"/>
  <c r="D30" i="2"/>
  <c r="I30" i="2"/>
  <c r="I19" i="2"/>
  <c r="D19" i="2"/>
  <c r="D13" i="2"/>
  <c r="I13" i="2"/>
  <c r="S35" i="4"/>
  <c r="I15" i="2"/>
  <c r="D15" i="2"/>
  <c r="D29" i="2"/>
  <c r="I29" i="2"/>
  <c r="D33" i="2"/>
  <c r="I33" i="2"/>
  <c r="B35" i="2"/>
  <c r="I31" i="2"/>
  <c r="D31" i="2"/>
  <c r="F35" i="2"/>
  <c r="D12" i="2"/>
  <c r="I12" i="2"/>
  <c r="D22" i="2"/>
  <c r="I22" i="2"/>
  <c r="D34" i="2"/>
  <c r="I34" i="2"/>
  <c r="H32" i="2"/>
  <c r="E35" i="2"/>
  <c r="E37" i="2" s="1"/>
  <c r="C35" i="2"/>
  <c r="I27" i="2"/>
  <c r="D27" i="2"/>
  <c r="M35" i="4"/>
  <c r="D21" i="2"/>
  <c r="I21" i="2"/>
  <c r="D26" i="2"/>
  <c r="I26" i="2"/>
  <c r="D17" i="2"/>
  <c r="I17" i="2"/>
  <c r="D14" i="2"/>
  <c r="I14" i="2"/>
  <c r="I23" i="2"/>
  <c r="D28" i="2"/>
  <c r="I28" i="2"/>
  <c r="D20" i="2"/>
  <c r="DJ33" i="3"/>
  <c r="AH33" i="3"/>
  <c r="BB33" i="3"/>
  <c r="CT33" i="3"/>
  <c r="AM33" i="3"/>
  <c r="AF33" i="3"/>
  <c r="CS33" i="3"/>
  <c r="AJ33" i="3"/>
  <c r="F37" i="2" l="1"/>
  <c r="G35" i="2"/>
  <c r="C37" i="2"/>
  <c r="I35" i="2"/>
  <c r="I37" i="2" s="1"/>
  <c r="D35" i="2"/>
  <c r="B37" i="2"/>
  <c r="H35" i="2"/>
  <c r="H37" i="2" s="1"/>
  <c r="C164" i="1"/>
  <c r="J164" i="1"/>
  <c r="L148" i="1" l="1"/>
  <c r="L147" i="1"/>
  <c r="X147" i="1" s="1"/>
  <c r="L146" i="1"/>
  <c r="X146" i="1" s="1"/>
  <c r="L145" i="1"/>
  <c r="X145" i="1" s="1"/>
  <c r="L144" i="1"/>
  <c r="X144" i="1" s="1"/>
  <c r="L143" i="1"/>
  <c r="X143" i="1" s="1"/>
  <c r="L142" i="1"/>
  <c r="X142" i="1" s="1"/>
  <c r="L141" i="1"/>
  <c r="X141" i="1" s="1"/>
  <c r="E142" i="1"/>
  <c r="R142" i="1" s="1"/>
  <c r="E143" i="1"/>
  <c r="R143" i="1" s="1"/>
  <c r="E144" i="1"/>
  <c r="R144" i="1" s="1"/>
  <c r="E145" i="1"/>
  <c r="R145" i="1" s="1"/>
  <c r="E146" i="1"/>
  <c r="R146" i="1" s="1"/>
  <c r="E147" i="1"/>
  <c r="R147" i="1" s="1"/>
  <c r="E148" i="1"/>
  <c r="R148" i="1" s="1"/>
  <c r="E141" i="1"/>
  <c r="R141" i="1" s="1"/>
  <c r="L13" i="1"/>
  <c r="X13" i="1" s="1"/>
  <c r="L14" i="1"/>
  <c r="X14" i="1" s="1"/>
  <c r="L15" i="1"/>
  <c r="X15" i="1" s="1"/>
  <c r="BP34" i="3" s="1"/>
  <c r="L16" i="1"/>
  <c r="X16" i="1" s="1"/>
  <c r="CB34" i="3" s="1"/>
  <c r="L17" i="1"/>
  <c r="X17" i="1" s="1"/>
  <c r="L18" i="1"/>
  <c r="X18" i="1" s="1"/>
  <c r="L19" i="1"/>
  <c r="X19" i="1" s="1"/>
  <c r="L20" i="1"/>
  <c r="X20" i="1" s="1"/>
  <c r="L21" i="1"/>
  <c r="L22" i="1"/>
  <c r="X22" i="1" s="1"/>
  <c r="L23" i="1"/>
  <c r="X23" i="1" s="1"/>
  <c r="L24" i="1"/>
  <c r="X24" i="1" s="1"/>
  <c r="L25" i="1"/>
  <c r="X25" i="1" s="1"/>
  <c r="L26" i="1"/>
  <c r="X26" i="1" s="1"/>
  <c r="L27" i="1"/>
  <c r="X27" i="1" s="1"/>
  <c r="L28" i="1"/>
  <c r="X28" i="1" s="1"/>
  <c r="L11" i="1"/>
  <c r="X11" i="1" s="1"/>
  <c r="BL34" i="3" s="1"/>
  <c r="BL35" i="3" s="1"/>
  <c r="L131" i="1"/>
  <c r="E131" i="1"/>
  <c r="R131" i="1" s="1"/>
  <c r="E12" i="1"/>
  <c r="R12" i="1" s="1"/>
  <c r="E13" i="1"/>
  <c r="R13" i="1" s="1"/>
  <c r="DL34" i="3" s="1"/>
  <c r="DL35" i="3" s="1"/>
  <c r="E14" i="1"/>
  <c r="R14" i="1" s="1"/>
  <c r="E15" i="1"/>
  <c r="R15" i="1" s="1"/>
  <c r="BN34" i="3" s="1"/>
  <c r="BN35" i="3" s="1"/>
  <c r="E16" i="1"/>
  <c r="R16" i="1" s="1"/>
  <c r="BX34" i="3" s="1"/>
  <c r="BX35" i="3" s="1"/>
  <c r="E17" i="1"/>
  <c r="E18" i="1"/>
  <c r="R18" i="1" s="1"/>
  <c r="E19" i="1"/>
  <c r="R19" i="1" s="1"/>
  <c r="E20" i="1"/>
  <c r="R20" i="1" s="1"/>
  <c r="E21" i="1"/>
  <c r="E22" i="1"/>
  <c r="R22" i="1" s="1"/>
  <c r="E23" i="1"/>
  <c r="R23" i="1" s="1"/>
  <c r="BS34" i="3" s="1"/>
  <c r="BS35" i="3" s="1"/>
  <c r="E24" i="1"/>
  <c r="R24" i="1" s="1"/>
  <c r="E25" i="1"/>
  <c r="E26" i="1"/>
  <c r="R26" i="1" s="1"/>
  <c r="E11" i="1"/>
  <c r="R11" i="1" s="1"/>
  <c r="BG34" i="3" s="1"/>
  <c r="BG35" i="3" s="1"/>
  <c r="AA167" i="1"/>
  <c r="Z167" i="1"/>
  <c r="Y167" i="1"/>
  <c r="W167" i="1"/>
  <c r="U167" i="1"/>
  <c r="T167" i="1"/>
  <c r="AF167" i="1" s="1"/>
  <c r="S167" i="1"/>
  <c r="Q167" i="1"/>
  <c r="L167" i="1"/>
  <c r="X167" i="1" s="1"/>
  <c r="E167" i="1"/>
  <c r="R167" i="1" s="1"/>
  <c r="AA166" i="1"/>
  <c r="Z166" i="1"/>
  <c r="Y166" i="1"/>
  <c r="W166" i="1"/>
  <c r="U166" i="1"/>
  <c r="T166" i="1"/>
  <c r="S166" i="1"/>
  <c r="Q166" i="1"/>
  <c r="L166" i="1"/>
  <c r="E166" i="1"/>
  <c r="AA165" i="1"/>
  <c r="Z165" i="1"/>
  <c r="Y165" i="1"/>
  <c r="W165" i="1"/>
  <c r="U165" i="1"/>
  <c r="T165" i="1"/>
  <c r="S165" i="1"/>
  <c r="Q165" i="1"/>
  <c r="L165" i="1"/>
  <c r="E165" i="1"/>
  <c r="O164" i="1"/>
  <c r="AA164" i="1" s="1"/>
  <c r="N164" i="1"/>
  <c r="Z164" i="1" s="1"/>
  <c r="M164" i="1"/>
  <c r="Y164" i="1" s="1"/>
  <c r="K164" i="1"/>
  <c r="H164" i="1"/>
  <c r="U164" i="1" s="1"/>
  <c r="G164" i="1"/>
  <c r="T164" i="1" s="1"/>
  <c r="F164" i="1"/>
  <c r="D164" i="1"/>
  <c r="AA163" i="1"/>
  <c r="Z163" i="1"/>
  <c r="Y163" i="1"/>
  <c r="W163" i="1"/>
  <c r="U163" i="1"/>
  <c r="T163" i="1"/>
  <c r="S163" i="1"/>
  <c r="Q163" i="1"/>
  <c r="L163" i="1"/>
  <c r="E163" i="1"/>
  <c r="O162" i="1"/>
  <c r="AA162" i="1" s="1"/>
  <c r="N162" i="1"/>
  <c r="M162" i="1"/>
  <c r="Y162" i="1" s="1"/>
  <c r="H162" i="1"/>
  <c r="U162" i="1" s="1"/>
  <c r="G162" i="1"/>
  <c r="T162" i="1" s="1"/>
  <c r="F162" i="1"/>
  <c r="AA161" i="1"/>
  <c r="Z161" i="1"/>
  <c r="Y161" i="1"/>
  <c r="W161" i="1"/>
  <c r="U161" i="1"/>
  <c r="T161" i="1"/>
  <c r="S161" i="1"/>
  <c r="Q161" i="1"/>
  <c r="AC161" i="1" s="1"/>
  <c r="L161" i="1"/>
  <c r="I161" i="1" s="1"/>
  <c r="V161" i="1" s="1"/>
  <c r="E161" i="1"/>
  <c r="R161" i="1" s="1"/>
  <c r="AA160" i="1"/>
  <c r="Z160" i="1"/>
  <c r="Y160" i="1"/>
  <c r="W160" i="1"/>
  <c r="U160" i="1"/>
  <c r="T160" i="1"/>
  <c r="S160" i="1"/>
  <c r="Q160" i="1"/>
  <c r="L160" i="1"/>
  <c r="I160" i="1" s="1"/>
  <c r="V160" i="1" s="1"/>
  <c r="E160" i="1"/>
  <c r="B160" i="1" s="1"/>
  <c r="P160" i="1" s="1"/>
  <c r="AA159" i="1"/>
  <c r="Z159" i="1"/>
  <c r="Y159" i="1"/>
  <c r="W159" i="1"/>
  <c r="U159" i="1"/>
  <c r="T159" i="1"/>
  <c r="S159" i="1"/>
  <c r="Q159" i="1"/>
  <c r="L159" i="1"/>
  <c r="I159" i="1" s="1"/>
  <c r="V159" i="1" s="1"/>
  <c r="E159" i="1"/>
  <c r="R159" i="1" s="1"/>
  <c r="CK34" i="3" s="1"/>
  <c r="CK35" i="3" s="1"/>
  <c r="O150" i="1"/>
  <c r="N150" i="1"/>
  <c r="M150" i="1"/>
  <c r="K150" i="1"/>
  <c r="J150" i="1"/>
  <c r="I150" i="1"/>
  <c r="H150" i="1"/>
  <c r="G150" i="1"/>
  <c r="F150" i="1"/>
  <c r="D150" i="1"/>
  <c r="C150" i="1"/>
  <c r="B150" i="1"/>
  <c r="P150" i="1" s="1"/>
  <c r="J149" i="1"/>
  <c r="C149" i="1"/>
  <c r="AA148" i="1"/>
  <c r="Z148" i="1"/>
  <c r="Y148" i="1"/>
  <c r="X148" i="1"/>
  <c r="W148" i="1"/>
  <c r="V148" i="1"/>
  <c r="U148" i="1"/>
  <c r="T148" i="1"/>
  <c r="S148" i="1"/>
  <c r="Q148" i="1"/>
  <c r="P148" i="1"/>
  <c r="AA147" i="1"/>
  <c r="Z147" i="1"/>
  <c r="Y147" i="1"/>
  <c r="W147" i="1"/>
  <c r="V147" i="1"/>
  <c r="U147" i="1"/>
  <c r="T147" i="1"/>
  <c r="S147" i="1"/>
  <c r="Q147" i="1"/>
  <c r="P147" i="1"/>
  <c r="AA146" i="1"/>
  <c r="Z146" i="1"/>
  <c r="Y146" i="1"/>
  <c r="W146" i="1"/>
  <c r="V146" i="1"/>
  <c r="U146" i="1"/>
  <c r="T146" i="1"/>
  <c r="S146" i="1"/>
  <c r="Q146" i="1"/>
  <c r="P146" i="1"/>
  <c r="AA145" i="1"/>
  <c r="Z145" i="1"/>
  <c r="Y145" i="1"/>
  <c r="W145" i="1"/>
  <c r="V145" i="1"/>
  <c r="U145" i="1"/>
  <c r="T145" i="1"/>
  <c r="S145" i="1"/>
  <c r="Q145" i="1"/>
  <c r="P145" i="1"/>
  <c r="AA144" i="1"/>
  <c r="Z144" i="1"/>
  <c r="Y144" i="1"/>
  <c r="W144" i="1"/>
  <c r="V144" i="1"/>
  <c r="U144" i="1"/>
  <c r="T144" i="1"/>
  <c r="S144" i="1"/>
  <c r="Q144" i="1"/>
  <c r="P144" i="1"/>
  <c r="AA143" i="1"/>
  <c r="Z143" i="1"/>
  <c r="Y143" i="1"/>
  <c r="W143" i="1"/>
  <c r="V143" i="1"/>
  <c r="U143" i="1"/>
  <c r="T143" i="1"/>
  <c r="S143" i="1"/>
  <c r="Q143" i="1"/>
  <c r="P143" i="1"/>
  <c r="AA142" i="1"/>
  <c r="Z142" i="1"/>
  <c r="Y142" i="1"/>
  <c r="W142" i="1"/>
  <c r="V142" i="1"/>
  <c r="U142" i="1"/>
  <c r="T142" i="1"/>
  <c r="S142" i="1"/>
  <c r="Q142" i="1"/>
  <c r="P142" i="1"/>
  <c r="AA141" i="1"/>
  <c r="Z141" i="1"/>
  <c r="Y141" i="1"/>
  <c r="W141" i="1"/>
  <c r="V141" i="1"/>
  <c r="U141" i="1"/>
  <c r="T141" i="1"/>
  <c r="S141" i="1"/>
  <c r="Q141" i="1"/>
  <c r="AA134" i="1"/>
  <c r="Z134" i="1"/>
  <c r="Y134" i="1"/>
  <c r="W134" i="1"/>
  <c r="V134" i="1"/>
  <c r="U134" i="1"/>
  <c r="T134" i="1"/>
  <c r="S134" i="1"/>
  <c r="Q134" i="1"/>
  <c r="P134" i="1"/>
  <c r="L134" i="1"/>
  <c r="E134" i="1"/>
  <c r="R134" i="1" s="1"/>
  <c r="O132" i="1"/>
  <c r="N132" i="1"/>
  <c r="M132" i="1"/>
  <c r="K132" i="1"/>
  <c r="J132" i="1"/>
  <c r="I132" i="1"/>
  <c r="H132" i="1"/>
  <c r="G132" i="1"/>
  <c r="F132" i="1"/>
  <c r="D132" i="1"/>
  <c r="C132" i="1"/>
  <c r="B132" i="1"/>
  <c r="AA131" i="1"/>
  <c r="Z131" i="1"/>
  <c r="Y131" i="1"/>
  <c r="W131" i="1"/>
  <c r="V131" i="1"/>
  <c r="U131" i="1"/>
  <c r="AG131" i="1" s="1"/>
  <c r="T131" i="1"/>
  <c r="S131" i="1"/>
  <c r="Q131" i="1"/>
  <c r="P131" i="1"/>
  <c r="O129" i="1"/>
  <c r="O130" i="1" s="1"/>
  <c r="AA130" i="1" s="1"/>
  <c r="N129" i="1"/>
  <c r="N130" i="1" s="1"/>
  <c r="Z130" i="1" s="1"/>
  <c r="M129" i="1"/>
  <c r="M130" i="1" s="1"/>
  <c r="Y130" i="1" s="1"/>
  <c r="K129" i="1"/>
  <c r="K130" i="1" s="1"/>
  <c r="W130" i="1" s="1"/>
  <c r="J129" i="1"/>
  <c r="J130" i="1" s="1"/>
  <c r="I129" i="1"/>
  <c r="I130" i="1" s="1"/>
  <c r="V130" i="1" s="1"/>
  <c r="H129" i="1"/>
  <c r="U129" i="1" s="1"/>
  <c r="G129" i="1"/>
  <c r="G130" i="1" s="1"/>
  <c r="T130" i="1" s="1"/>
  <c r="F129" i="1"/>
  <c r="D129" i="1"/>
  <c r="Q129" i="1" s="1"/>
  <c r="C129" i="1"/>
  <c r="C130" i="1" s="1"/>
  <c r="B129" i="1"/>
  <c r="P129" i="1" s="1"/>
  <c r="AA128" i="1"/>
  <c r="Z128" i="1"/>
  <c r="Y128" i="1"/>
  <c r="W128" i="1"/>
  <c r="V128" i="1"/>
  <c r="U128" i="1"/>
  <c r="T128" i="1"/>
  <c r="S128" i="1"/>
  <c r="Q128" i="1"/>
  <c r="P128" i="1"/>
  <c r="AA127" i="1"/>
  <c r="Z127" i="1"/>
  <c r="Y127" i="1"/>
  <c r="W127" i="1"/>
  <c r="V127" i="1"/>
  <c r="U127" i="1"/>
  <c r="T127" i="1"/>
  <c r="S127" i="1"/>
  <c r="Q127" i="1"/>
  <c r="P127" i="1"/>
  <c r="AA126" i="1"/>
  <c r="Z126" i="1"/>
  <c r="Y126" i="1"/>
  <c r="W126" i="1"/>
  <c r="V126" i="1"/>
  <c r="U126" i="1"/>
  <c r="T126" i="1"/>
  <c r="S126" i="1"/>
  <c r="Q126" i="1"/>
  <c r="P126" i="1"/>
  <c r="AA125" i="1"/>
  <c r="Z125" i="1"/>
  <c r="Y125" i="1"/>
  <c r="W125" i="1"/>
  <c r="V125" i="1"/>
  <c r="U125" i="1"/>
  <c r="T125" i="1"/>
  <c r="S125" i="1"/>
  <c r="Q125" i="1"/>
  <c r="P125" i="1"/>
  <c r="AA124" i="1"/>
  <c r="Z124" i="1"/>
  <c r="Y124" i="1"/>
  <c r="W124" i="1"/>
  <c r="V124" i="1"/>
  <c r="U124" i="1"/>
  <c r="T124" i="1"/>
  <c r="S124" i="1"/>
  <c r="Q124" i="1"/>
  <c r="P124" i="1"/>
  <c r="L124" i="1"/>
  <c r="X124" i="1" s="1"/>
  <c r="E124" i="1"/>
  <c r="R124" i="1" s="1"/>
  <c r="AA123" i="1"/>
  <c r="Z123" i="1"/>
  <c r="Y123" i="1"/>
  <c r="W123" i="1"/>
  <c r="V123" i="1"/>
  <c r="U123" i="1"/>
  <c r="T123" i="1"/>
  <c r="S123" i="1"/>
  <c r="Q123" i="1"/>
  <c r="P123" i="1"/>
  <c r="L123" i="1"/>
  <c r="X123" i="1" s="1"/>
  <c r="R123" i="1"/>
  <c r="AA122" i="1"/>
  <c r="Z122" i="1"/>
  <c r="W122" i="1"/>
  <c r="U122" i="1"/>
  <c r="T122" i="1"/>
  <c r="Q122" i="1"/>
  <c r="L122" i="1"/>
  <c r="E122" i="1"/>
  <c r="E121" i="1" s="1"/>
  <c r="R121" i="1" s="1"/>
  <c r="AA121" i="1"/>
  <c r="Z121" i="1"/>
  <c r="Y121" i="1"/>
  <c r="W121" i="1"/>
  <c r="V121" i="1"/>
  <c r="U121" i="1"/>
  <c r="T121" i="1"/>
  <c r="S121" i="1"/>
  <c r="Q121" i="1"/>
  <c r="P121" i="1"/>
  <c r="L121" i="1"/>
  <c r="X121" i="1" s="1"/>
  <c r="AA120" i="1"/>
  <c r="Z120" i="1"/>
  <c r="Y120" i="1"/>
  <c r="W120" i="1"/>
  <c r="V120" i="1"/>
  <c r="U120" i="1"/>
  <c r="T120" i="1"/>
  <c r="S120" i="1"/>
  <c r="Q120" i="1"/>
  <c r="P120" i="1"/>
  <c r="L120" i="1"/>
  <c r="X120" i="1" s="1"/>
  <c r="E120" i="1"/>
  <c r="E119" i="1" s="1"/>
  <c r="R119" i="1" s="1"/>
  <c r="AA119" i="1"/>
  <c r="Z119" i="1"/>
  <c r="Y119" i="1"/>
  <c r="W119" i="1"/>
  <c r="V119" i="1"/>
  <c r="U119" i="1"/>
  <c r="T119" i="1"/>
  <c r="S119" i="1"/>
  <c r="Q119" i="1"/>
  <c r="P119" i="1"/>
  <c r="L119" i="1"/>
  <c r="X119" i="1" s="1"/>
  <c r="AA118" i="1"/>
  <c r="Z118" i="1"/>
  <c r="Y118" i="1"/>
  <c r="W118" i="1"/>
  <c r="V118" i="1"/>
  <c r="U118" i="1"/>
  <c r="T118" i="1"/>
  <c r="S118" i="1"/>
  <c r="Q118" i="1"/>
  <c r="P118" i="1"/>
  <c r="L118" i="1"/>
  <c r="X118" i="1" s="1"/>
  <c r="E118" i="1"/>
  <c r="E117" i="1" s="1"/>
  <c r="R117" i="1" s="1"/>
  <c r="AA117" i="1"/>
  <c r="Z117" i="1"/>
  <c r="Y117" i="1"/>
  <c r="W117" i="1"/>
  <c r="V117" i="1"/>
  <c r="U117" i="1"/>
  <c r="T117" i="1"/>
  <c r="S117" i="1"/>
  <c r="Q117" i="1"/>
  <c r="P117" i="1"/>
  <c r="AA116" i="1"/>
  <c r="Z116" i="1"/>
  <c r="Y116" i="1"/>
  <c r="W116" i="1"/>
  <c r="V116" i="1"/>
  <c r="U116" i="1"/>
  <c r="T116" i="1"/>
  <c r="S116" i="1"/>
  <c r="Q116" i="1"/>
  <c r="P116" i="1"/>
  <c r="L116" i="1"/>
  <c r="X116" i="1" s="1"/>
  <c r="E116" i="1"/>
  <c r="R116" i="1" s="1"/>
  <c r="AA115" i="1"/>
  <c r="Z115" i="1"/>
  <c r="Y115" i="1"/>
  <c r="W115" i="1"/>
  <c r="V115" i="1"/>
  <c r="U115" i="1"/>
  <c r="T115" i="1"/>
  <c r="S115" i="1"/>
  <c r="Q115" i="1"/>
  <c r="P115" i="1"/>
  <c r="L115" i="1"/>
  <c r="X115" i="1" s="1"/>
  <c r="E115" i="1"/>
  <c r="R115" i="1" s="1"/>
  <c r="AA114" i="1"/>
  <c r="Z114" i="1"/>
  <c r="Y114" i="1"/>
  <c r="W114" i="1"/>
  <c r="V114" i="1"/>
  <c r="U114" i="1"/>
  <c r="T114" i="1"/>
  <c r="S114" i="1"/>
  <c r="Q114" i="1"/>
  <c r="P114" i="1"/>
  <c r="L114" i="1"/>
  <c r="X114" i="1" s="1"/>
  <c r="E114" i="1"/>
  <c r="R114" i="1" s="1"/>
  <c r="Z113" i="1"/>
  <c r="W113" i="1"/>
  <c r="V113" i="1"/>
  <c r="T113" i="1"/>
  <c r="Q113" i="1"/>
  <c r="P113" i="1"/>
  <c r="L113" i="1"/>
  <c r="L112" i="1" s="1"/>
  <c r="X112" i="1" s="1"/>
  <c r="E113" i="1"/>
  <c r="E112" i="1" s="1"/>
  <c r="R112" i="1" s="1"/>
  <c r="AA112" i="1"/>
  <c r="Z112" i="1"/>
  <c r="Y112" i="1"/>
  <c r="W112" i="1"/>
  <c r="V112" i="1"/>
  <c r="U112" i="1"/>
  <c r="T112" i="1"/>
  <c r="S112" i="1"/>
  <c r="Q112" i="1"/>
  <c r="P112" i="1"/>
  <c r="AA110" i="1"/>
  <c r="Z110" i="1"/>
  <c r="Y110" i="1"/>
  <c r="W110" i="1"/>
  <c r="V110" i="1"/>
  <c r="U110" i="1"/>
  <c r="T110" i="1"/>
  <c r="S110" i="1"/>
  <c r="Q110" i="1"/>
  <c r="P110" i="1"/>
  <c r="L110" i="1"/>
  <c r="X110" i="1" s="1"/>
  <c r="E110" i="1"/>
  <c r="R110" i="1" s="1"/>
  <c r="AA109" i="1"/>
  <c r="Z109" i="1"/>
  <c r="Y109" i="1"/>
  <c r="W109" i="1"/>
  <c r="V109" i="1"/>
  <c r="U109" i="1"/>
  <c r="T109" i="1"/>
  <c r="S109" i="1"/>
  <c r="Q109" i="1"/>
  <c r="P109" i="1"/>
  <c r="L109" i="1"/>
  <c r="X109" i="1" s="1"/>
  <c r="E109" i="1"/>
  <c r="R109" i="1" s="1"/>
  <c r="AA108" i="1"/>
  <c r="Z108" i="1"/>
  <c r="Y108" i="1"/>
  <c r="W108" i="1"/>
  <c r="V108" i="1"/>
  <c r="U108" i="1"/>
  <c r="T108" i="1"/>
  <c r="S108" i="1"/>
  <c r="Q108" i="1"/>
  <c r="L108" i="1"/>
  <c r="L107" i="1" s="1"/>
  <c r="X107" i="1" s="1"/>
  <c r="E108" i="1"/>
  <c r="E107" i="1" s="1"/>
  <c r="R107" i="1" s="1"/>
  <c r="AA107" i="1"/>
  <c r="Z107" i="1"/>
  <c r="Y107" i="1"/>
  <c r="W107" i="1"/>
  <c r="V107" i="1"/>
  <c r="U107" i="1"/>
  <c r="T107" i="1"/>
  <c r="S107" i="1"/>
  <c r="Q107" i="1"/>
  <c r="P107" i="1"/>
  <c r="AA106" i="1"/>
  <c r="Z106" i="1"/>
  <c r="W106" i="1"/>
  <c r="U106" i="1"/>
  <c r="T106" i="1"/>
  <c r="Q106" i="1"/>
  <c r="P106" i="1"/>
  <c r="L106" i="1"/>
  <c r="L105" i="1" s="1"/>
  <c r="X105" i="1" s="1"/>
  <c r="E106" i="1"/>
  <c r="E105" i="1" s="1"/>
  <c r="R105" i="1" s="1"/>
  <c r="AA105" i="1"/>
  <c r="Z105" i="1"/>
  <c r="Y105" i="1"/>
  <c r="W105" i="1"/>
  <c r="V105" i="1"/>
  <c r="U105" i="1"/>
  <c r="T105" i="1"/>
  <c r="S105" i="1"/>
  <c r="Q105" i="1"/>
  <c r="P105" i="1"/>
  <c r="AA91" i="1"/>
  <c r="Z91" i="1"/>
  <c r="W91" i="1"/>
  <c r="V91" i="1"/>
  <c r="U91" i="1"/>
  <c r="T91" i="1"/>
  <c r="Q91" i="1"/>
  <c r="P91" i="1"/>
  <c r="L91" i="1"/>
  <c r="L90" i="1" s="1"/>
  <c r="X90" i="1" s="1"/>
  <c r="E91" i="1"/>
  <c r="E90" i="1" s="1"/>
  <c r="R90" i="1" s="1"/>
  <c r="AA90" i="1"/>
  <c r="Z90" i="1"/>
  <c r="Y90" i="1"/>
  <c r="W90" i="1"/>
  <c r="V90" i="1"/>
  <c r="U90" i="1"/>
  <c r="T90" i="1"/>
  <c r="S90" i="1"/>
  <c r="Q90" i="1"/>
  <c r="P90" i="1"/>
  <c r="Z89" i="1"/>
  <c r="W89" i="1"/>
  <c r="T89" i="1"/>
  <c r="Q89" i="1"/>
  <c r="L89" i="1"/>
  <c r="L88" i="1" s="1"/>
  <c r="X88" i="1" s="1"/>
  <c r="E89" i="1"/>
  <c r="E88" i="1" s="1"/>
  <c r="R88" i="1" s="1"/>
  <c r="AA88" i="1"/>
  <c r="Z88" i="1"/>
  <c r="Y88" i="1"/>
  <c r="W88" i="1"/>
  <c r="V88" i="1"/>
  <c r="U88" i="1"/>
  <c r="T88" i="1"/>
  <c r="S88" i="1"/>
  <c r="Q88" i="1"/>
  <c r="P88" i="1"/>
  <c r="AA87" i="1"/>
  <c r="Z87" i="1"/>
  <c r="W87" i="1"/>
  <c r="U87" i="1"/>
  <c r="T87" i="1"/>
  <c r="Q87" i="1"/>
  <c r="L87" i="1"/>
  <c r="E87" i="1"/>
  <c r="E86" i="1" s="1"/>
  <c r="R86" i="1" s="1"/>
  <c r="AA86" i="1"/>
  <c r="Z86" i="1"/>
  <c r="Y86" i="1"/>
  <c r="W86" i="1"/>
  <c r="V86" i="1"/>
  <c r="U86" i="1"/>
  <c r="T86" i="1"/>
  <c r="S86" i="1"/>
  <c r="Q86" i="1"/>
  <c r="P86" i="1"/>
  <c r="L86" i="1"/>
  <c r="X86" i="1" s="1"/>
  <c r="AA85" i="1"/>
  <c r="Z85" i="1"/>
  <c r="W85" i="1"/>
  <c r="U85" i="1"/>
  <c r="T85" i="1"/>
  <c r="Q85" i="1"/>
  <c r="L85" i="1"/>
  <c r="L84" i="1" s="1"/>
  <c r="X84" i="1" s="1"/>
  <c r="E85" i="1"/>
  <c r="E84" i="1" s="1"/>
  <c r="R84" i="1" s="1"/>
  <c r="AA84" i="1"/>
  <c r="Z84" i="1"/>
  <c r="Y84" i="1"/>
  <c r="W84" i="1"/>
  <c r="V84" i="1"/>
  <c r="U84" i="1"/>
  <c r="T84" i="1"/>
  <c r="S84" i="1"/>
  <c r="Q84" i="1"/>
  <c r="P84" i="1"/>
  <c r="AA83" i="1"/>
  <c r="Z83" i="1"/>
  <c r="W83" i="1"/>
  <c r="U83" i="1"/>
  <c r="T83" i="1"/>
  <c r="Q83" i="1"/>
  <c r="L83" i="1"/>
  <c r="E83" i="1"/>
  <c r="E82" i="1" s="1"/>
  <c r="R82" i="1" s="1"/>
  <c r="AA82" i="1"/>
  <c r="Z82" i="1"/>
  <c r="Y82" i="1"/>
  <c r="W82" i="1"/>
  <c r="V82" i="1"/>
  <c r="U82" i="1"/>
  <c r="T82" i="1"/>
  <c r="S82" i="1"/>
  <c r="Q82" i="1"/>
  <c r="P82" i="1"/>
  <c r="L82" i="1"/>
  <c r="X82" i="1" s="1"/>
  <c r="AA81" i="1"/>
  <c r="Z81" i="1"/>
  <c r="W81" i="1"/>
  <c r="U81" i="1"/>
  <c r="T81" i="1"/>
  <c r="Q81" i="1"/>
  <c r="L81" i="1"/>
  <c r="E81" i="1"/>
  <c r="E80" i="1" s="1"/>
  <c r="R80" i="1" s="1"/>
  <c r="AA80" i="1"/>
  <c r="Z80" i="1"/>
  <c r="Y80" i="1"/>
  <c r="W80" i="1"/>
  <c r="V80" i="1"/>
  <c r="U80" i="1"/>
  <c r="T80" i="1"/>
  <c r="S80" i="1"/>
  <c r="Q80" i="1"/>
  <c r="P80" i="1"/>
  <c r="L80" i="1"/>
  <c r="X80" i="1" s="1"/>
  <c r="AA79" i="1"/>
  <c r="Z79" i="1"/>
  <c r="W79" i="1"/>
  <c r="V79" i="1"/>
  <c r="U79" i="1"/>
  <c r="T79" i="1"/>
  <c r="Q79" i="1"/>
  <c r="P79" i="1"/>
  <c r="L79" i="1"/>
  <c r="L78" i="1" s="1"/>
  <c r="X78" i="1" s="1"/>
  <c r="E79" i="1"/>
  <c r="E78" i="1" s="1"/>
  <c r="R78" i="1" s="1"/>
  <c r="AA78" i="1"/>
  <c r="Z78" i="1"/>
  <c r="Y78" i="1"/>
  <c r="W78" i="1"/>
  <c r="V78" i="1"/>
  <c r="U78" i="1"/>
  <c r="T78" i="1"/>
  <c r="S78" i="1"/>
  <c r="Q78" i="1"/>
  <c r="P78" i="1"/>
  <c r="AA77" i="1"/>
  <c r="Z77" i="1"/>
  <c r="W77" i="1"/>
  <c r="V77" i="1"/>
  <c r="U77" i="1"/>
  <c r="T77" i="1"/>
  <c r="S77" i="1"/>
  <c r="Q77" i="1"/>
  <c r="P77" i="1"/>
  <c r="L77" i="1"/>
  <c r="E77" i="1"/>
  <c r="E76" i="1" s="1"/>
  <c r="R76" i="1" s="1"/>
  <c r="AA76" i="1"/>
  <c r="Z76" i="1"/>
  <c r="Y76" i="1"/>
  <c r="W76" i="1"/>
  <c r="V76" i="1"/>
  <c r="U76" i="1"/>
  <c r="T76" i="1"/>
  <c r="S76" i="1"/>
  <c r="Q76" i="1"/>
  <c r="P76" i="1"/>
  <c r="L76" i="1"/>
  <c r="X76" i="1" s="1"/>
  <c r="Z75" i="1"/>
  <c r="W75" i="1"/>
  <c r="T75" i="1"/>
  <c r="Q75" i="1"/>
  <c r="L75" i="1"/>
  <c r="L74" i="1" s="1"/>
  <c r="X74" i="1" s="1"/>
  <c r="E75" i="1"/>
  <c r="E74" i="1" s="1"/>
  <c r="R74" i="1" s="1"/>
  <c r="AA74" i="1"/>
  <c r="Z74" i="1"/>
  <c r="Y74" i="1"/>
  <c r="W74" i="1"/>
  <c r="V74" i="1"/>
  <c r="U74" i="1"/>
  <c r="T74" i="1"/>
  <c r="S74" i="1"/>
  <c r="Q74" i="1"/>
  <c r="P74" i="1"/>
  <c r="AA73" i="1"/>
  <c r="Z73" i="1"/>
  <c r="W73" i="1"/>
  <c r="V73" i="1"/>
  <c r="U73" i="1"/>
  <c r="T73" i="1"/>
  <c r="Q73" i="1"/>
  <c r="P73" i="1"/>
  <c r="L73" i="1"/>
  <c r="L72" i="1" s="1"/>
  <c r="X72" i="1" s="1"/>
  <c r="E73" i="1"/>
  <c r="E72" i="1" s="1"/>
  <c r="R72" i="1" s="1"/>
  <c r="AA72" i="1"/>
  <c r="Z72" i="1"/>
  <c r="Y72" i="1"/>
  <c r="W72" i="1"/>
  <c r="V72" i="1"/>
  <c r="U72" i="1"/>
  <c r="T72" i="1"/>
  <c r="S72" i="1"/>
  <c r="Q72" i="1"/>
  <c r="P72" i="1"/>
  <c r="AA71" i="1"/>
  <c r="Z71" i="1"/>
  <c r="W71" i="1"/>
  <c r="U71" i="1"/>
  <c r="T71" i="1"/>
  <c r="Q71" i="1"/>
  <c r="L71" i="1"/>
  <c r="L70" i="1" s="1"/>
  <c r="X70" i="1" s="1"/>
  <c r="E71" i="1"/>
  <c r="E70" i="1" s="1"/>
  <c r="R70" i="1" s="1"/>
  <c r="AA70" i="1"/>
  <c r="Z70" i="1"/>
  <c r="Y70" i="1"/>
  <c r="W70" i="1"/>
  <c r="V70" i="1"/>
  <c r="U70" i="1"/>
  <c r="T70" i="1"/>
  <c r="S70" i="1"/>
  <c r="Q70" i="1"/>
  <c r="P70" i="1"/>
  <c r="Z69" i="1"/>
  <c r="W69" i="1"/>
  <c r="U69" i="1"/>
  <c r="T69" i="1"/>
  <c r="Q69" i="1"/>
  <c r="L69" i="1"/>
  <c r="E69" i="1"/>
  <c r="E68" i="1" s="1"/>
  <c r="R68" i="1" s="1"/>
  <c r="AA68" i="1"/>
  <c r="Z68" i="1"/>
  <c r="Y68" i="1"/>
  <c r="W68" i="1"/>
  <c r="V68" i="1"/>
  <c r="U68" i="1"/>
  <c r="T68" i="1"/>
  <c r="S68" i="1"/>
  <c r="Q68" i="1"/>
  <c r="P68" i="1"/>
  <c r="L68" i="1"/>
  <c r="X68" i="1" s="1"/>
  <c r="AA67" i="1"/>
  <c r="Z67" i="1"/>
  <c r="W67" i="1"/>
  <c r="U67" i="1"/>
  <c r="T67" i="1"/>
  <c r="Q67" i="1"/>
  <c r="L67" i="1"/>
  <c r="L66" i="1" s="1"/>
  <c r="X66" i="1" s="1"/>
  <c r="E67" i="1"/>
  <c r="E66" i="1" s="1"/>
  <c r="R66" i="1" s="1"/>
  <c r="AA66" i="1"/>
  <c r="Z66" i="1"/>
  <c r="Y66" i="1"/>
  <c r="W66" i="1"/>
  <c r="V66" i="1"/>
  <c r="U66" i="1"/>
  <c r="T66" i="1"/>
  <c r="S66" i="1"/>
  <c r="Q66" i="1"/>
  <c r="P66" i="1"/>
  <c r="AE65" i="1"/>
  <c r="AA65" i="1"/>
  <c r="Z65" i="1"/>
  <c r="W65" i="1"/>
  <c r="U65" i="1"/>
  <c r="T65" i="1"/>
  <c r="Q65" i="1"/>
  <c r="L65" i="1"/>
  <c r="L64" i="1" s="1"/>
  <c r="X64" i="1" s="1"/>
  <c r="E65" i="1"/>
  <c r="E64" i="1" s="1"/>
  <c r="R64" i="1" s="1"/>
  <c r="AA64" i="1"/>
  <c r="Z64" i="1"/>
  <c r="Y64" i="1"/>
  <c r="W64" i="1"/>
  <c r="V64" i="1"/>
  <c r="U64" i="1"/>
  <c r="T64" i="1"/>
  <c r="S64" i="1"/>
  <c r="Q64" i="1"/>
  <c r="P64" i="1"/>
  <c r="AE63" i="1"/>
  <c r="AA63" i="1"/>
  <c r="Z63" i="1"/>
  <c r="W63" i="1"/>
  <c r="U63" i="1"/>
  <c r="T63" i="1"/>
  <c r="Q63" i="1"/>
  <c r="L63" i="1"/>
  <c r="E63" i="1"/>
  <c r="AA62" i="1"/>
  <c r="Z62" i="1"/>
  <c r="Y62" i="1"/>
  <c r="W62" i="1"/>
  <c r="V62" i="1"/>
  <c r="U62" i="1"/>
  <c r="T62" i="1"/>
  <c r="S62" i="1"/>
  <c r="Q62" i="1"/>
  <c r="P62" i="1"/>
  <c r="L62" i="1"/>
  <c r="X62" i="1" s="1"/>
  <c r="E62" i="1"/>
  <c r="R62" i="1" s="1"/>
  <c r="AA61" i="1"/>
  <c r="Z61" i="1"/>
  <c r="Y61" i="1"/>
  <c r="W61" i="1"/>
  <c r="V61" i="1"/>
  <c r="U61" i="1"/>
  <c r="T61" i="1"/>
  <c r="S61" i="1"/>
  <c r="Q61" i="1"/>
  <c r="P61" i="1"/>
  <c r="L61" i="1"/>
  <c r="X61" i="1" s="1"/>
  <c r="E61" i="1"/>
  <c r="R61" i="1" s="1"/>
  <c r="AA60" i="1"/>
  <c r="Z60" i="1"/>
  <c r="W60" i="1"/>
  <c r="V60" i="1"/>
  <c r="U60" i="1"/>
  <c r="T60" i="1"/>
  <c r="Q60" i="1"/>
  <c r="P60" i="1"/>
  <c r="L60" i="1"/>
  <c r="L59" i="1" s="1"/>
  <c r="X59" i="1" s="1"/>
  <c r="E60" i="1"/>
  <c r="E59" i="1" s="1"/>
  <c r="R59" i="1" s="1"/>
  <c r="AA59" i="1"/>
  <c r="Z59" i="1"/>
  <c r="Y59" i="1"/>
  <c r="W59" i="1"/>
  <c r="V59" i="1"/>
  <c r="U59" i="1"/>
  <c r="T59" i="1"/>
  <c r="S59" i="1"/>
  <c r="Q59" i="1"/>
  <c r="P59" i="1"/>
  <c r="AA58" i="1"/>
  <c r="Z58" i="1"/>
  <c r="Y58" i="1"/>
  <c r="W58" i="1"/>
  <c r="U58" i="1"/>
  <c r="T58" i="1"/>
  <c r="Q58" i="1"/>
  <c r="L58" i="1"/>
  <c r="L57" i="1" s="1"/>
  <c r="X57" i="1" s="1"/>
  <c r="E58" i="1"/>
  <c r="E57" i="1" s="1"/>
  <c r="R57" i="1" s="1"/>
  <c r="AA57" i="1"/>
  <c r="Z57" i="1"/>
  <c r="Y57" i="1"/>
  <c r="W57" i="1"/>
  <c r="V57" i="1"/>
  <c r="U57" i="1"/>
  <c r="T57" i="1"/>
  <c r="S57" i="1"/>
  <c r="Q57" i="1"/>
  <c r="P57" i="1"/>
  <c r="AA56" i="1"/>
  <c r="Z56" i="1"/>
  <c r="W56" i="1"/>
  <c r="V56" i="1"/>
  <c r="U56" i="1"/>
  <c r="T56" i="1"/>
  <c r="Q56" i="1"/>
  <c r="P56" i="1"/>
  <c r="L56" i="1"/>
  <c r="E56" i="1"/>
  <c r="AA55" i="1"/>
  <c r="Z55" i="1"/>
  <c r="Y55" i="1"/>
  <c r="W55" i="1"/>
  <c r="V55" i="1"/>
  <c r="U55" i="1"/>
  <c r="T55" i="1"/>
  <c r="S55" i="1"/>
  <c r="Q55" i="1"/>
  <c r="P55" i="1"/>
  <c r="L55" i="1"/>
  <c r="X55" i="1" s="1"/>
  <c r="E55" i="1"/>
  <c r="R55" i="1" s="1"/>
  <c r="AA54" i="1"/>
  <c r="Z54" i="1"/>
  <c r="W54" i="1"/>
  <c r="U54" i="1"/>
  <c r="T54" i="1"/>
  <c r="S54" i="1"/>
  <c r="Q54" i="1"/>
  <c r="P54" i="1"/>
  <c r="AB54" i="1" s="1"/>
  <c r="L54" i="1"/>
  <c r="E54" i="1"/>
  <c r="E53" i="1" s="1"/>
  <c r="AA53" i="1"/>
  <c r="Z53" i="1"/>
  <c r="Y53" i="1"/>
  <c r="W53" i="1"/>
  <c r="V53" i="1"/>
  <c r="U53" i="1"/>
  <c r="T53" i="1"/>
  <c r="S53" i="1"/>
  <c r="Q53" i="1"/>
  <c r="P53" i="1"/>
  <c r="L53" i="1"/>
  <c r="AA52" i="1"/>
  <c r="Z52" i="1"/>
  <c r="Y52" i="1"/>
  <c r="W52" i="1"/>
  <c r="V52" i="1"/>
  <c r="U52" i="1"/>
  <c r="T52" i="1"/>
  <c r="S52" i="1"/>
  <c r="Q52" i="1"/>
  <c r="P52" i="1"/>
  <c r="L45" i="1"/>
  <c r="E45" i="1"/>
  <c r="O42" i="1"/>
  <c r="O43" i="1" s="1"/>
  <c r="N42" i="1"/>
  <c r="N43" i="1" s="1"/>
  <c r="M42" i="1"/>
  <c r="M43" i="1" s="1"/>
  <c r="K42" i="1"/>
  <c r="K43" i="1" s="1"/>
  <c r="J42" i="1"/>
  <c r="J43" i="1" s="1"/>
  <c r="I42" i="1"/>
  <c r="I43" i="1" s="1"/>
  <c r="H42" i="1"/>
  <c r="H43" i="1" s="1"/>
  <c r="G42" i="1"/>
  <c r="G43" i="1" s="1"/>
  <c r="F42" i="1"/>
  <c r="F43" i="1" s="1"/>
  <c r="D42" i="1"/>
  <c r="D43" i="1" s="1"/>
  <c r="C42" i="1"/>
  <c r="C43" i="1" s="1"/>
  <c r="B42" i="1"/>
  <c r="P42" i="1" s="1"/>
  <c r="O40" i="1"/>
  <c r="N40" i="1"/>
  <c r="M40" i="1"/>
  <c r="K40" i="1"/>
  <c r="J40" i="1"/>
  <c r="I40" i="1"/>
  <c r="H40" i="1"/>
  <c r="G40" i="1"/>
  <c r="F40" i="1"/>
  <c r="D40" i="1"/>
  <c r="C40" i="1"/>
  <c r="B40" i="1"/>
  <c r="O39" i="1"/>
  <c r="N39" i="1"/>
  <c r="M39" i="1"/>
  <c r="K39" i="1"/>
  <c r="J39" i="1"/>
  <c r="I39" i="1"/>
  <c r="H39" i="1"/>
  <c r="G39" i="1"/>
  <c r="F39" i="1"/>
  <c r="D39" i="1"/>
  <c r="C39" i="1"/>
  <c r="B39" i="1"/>
  <c r="O38" i="1"/>
  <c r="N38" i="1"/>
  <c r="Z38" i="1" s="1"/>
  <c r="M38" i="1"/>
  <c r="Y38" i="1" s="1"/>
  <c r="K38" i="1"/>
  <c r="J38" i="1"/>
  <c r="J41" i="1" s="1"/>
  <c r="I38" i="1"/>
  <c r="H38" i="1"/>
  <c r="G38" i="1"/>
  <c r="F38" i="1"/>
  <c r="D38" i="1"/>
  <c r="C38" i="1"/>
  <c r="C41" i="1" s="1"/>
  <c r="B38" i="1"/>
  <c r="P38" i="1" s="1"/>
  <c r="AA37" i="1"/>
  <c r="Z37" i="1"/>
  <c r="Y37" i="1"/>
  <c r="W37" i="1"/>
  <c r="V37" i="1"/>
  <c r="U37" i="1"/>
  <c r="T37" i="1"/>
  <c r="S37" i="1"/>
  <c r="Q37" i="1"/>
  <c r="P37" i="1"/>
  <c r="L37" i="1"/>
  <c r="X37" i="1" s="1"/>
  <c r="E37" i="1"/>
  <c r="R37" i="1" s="1"/>
  <c r="AA36" i="1"/>
  <c r="Z36" i="1"/>
  <c r="Y36" i="1"/>
  <c r="W36" i="1"/>
  <c r="V36" i="1"/>
  <c r="U36" i="1"/>
  <c r="T36" i="1"/>
  <c r="S36" i="1"/>
  <c r="Q36" i="1"/>
  <c r="P36" i="1"/>
  <c r="L36" i="1"/>
  <c r="X36" i="1" s="1"/>
  <c r="E36" i="1"/>
  <c r="R36" i="1" s="1"/>
  <c r="AA35" i="1"/>
  <c r="Z35" i="1"/>
  <c r="Y35" i="1"/>
  <c r="X35" i="1"/>
  <c r="W35" i="1"/>
  <c r="V35" i="1"/>
  <c r="U35" i="1"/>
  <c r="T35" i="1"/>
  <c r="S35" i="1"/>
  <c r="R35" i="1"/>
  <c r="Q35" i="1"/>
  <c r="P35" i="1"/>
  <c r="AA34" i="1"/>
  <c r="Z34" i="1"/>
  <c r="Y34" i="1"/>
  <c r="W34" i="1"/>
  <c r="V34" i="1"/>
  <c r="U34" i="1"/>
  <c r="T34" i="1"/>
  <c r="S34" i="1"/>
  <c r="Q34" i="1"/>
  <c r="P34" i="1"/>
  <c r="L34" i="1"/>
  <c r="X34" i="1" s="1"/>
  <c r="E34" i="1"/>
  <c r="R34" i="1" s="1"/>
  <c r="AA33" i="1"/>
  <c r="Z33" i="1"/>
  <c r="Y33" i="1"/>
  <c r="W33" i="1"/>
  <c r="V33" i="1"/>
  <c r="U33" i="1"/>
  <c r="T33" i="1"/>
  <c r="S33" i="1"/>
  <c r="Q33" i="1"/>
  <c r="P33" i="1"/>
  <c r="L33" i="1"/>
  <c r="X33" i="1" s="1"/>
  <c r="E33" i="1"/>
  <c r="R33" i="1" s="1"/>
  <c r="AA32" i="1"/>
  <c r="Z32" i="1"/>
  <c r="Y32" i="1"/>
  <c r="W32" i="1"/>
  <c r="V32" i="1"/>
  <c r="U32" i="1"/>
  <c r="T32" i="1"/>
  <c r="S32" i="1"/>
  <c r="Q32" i="1"/>
  <c r="P32" i="1"/>
  <c r="L32" i="1"/>
  <c r="X32" i="1" s="1"/>
  <c r="E32" i="1"/>
  <c r="R32" i="1" s="1"/>
  <c r="AA31" i="1"/>
  <c r="Z31" i="1"/>
  <c r="Y31" i="1"/>
  <c r="W31" i="1"/>
  <c r="V31" i="1"/>
  <c r="U31" i="1"/>
  <c r="T31" i="1"/>
  <c r="S31" i="1"/>
  <c r="Q31" i="1"/>
  <c r="P31" i="1"/>
  <c r="L31" i="1"/>
  <c r="E31" i="1"/>
  <c r="AA30" i="1"/>
  <c r="Z30" i="1"/>
  <c r="Y30" i="1"/>
  <c r="X30" i="1"/>
  <c r="W30" i="1"/>
  <c r="V30" i="1"/>
  <c r="U30" i="1"/>
  <c r="T30" i="1"/>
  <c r="S30" i="1"/>
  <c r="R30" i="1"/>
  <c r="Q30" i="1"/>
  <c r="P30" i="1"/>
  <c r="AA29" i="1"/>
  <c r="Z29" i="1"/>
  <c r="Y29" i="1"/>
  <c r="W29" i="1"/>
  <c r="V29" i="1"/>
  <c r="U29" i="1"/>
  <c r="T29" i="1"/>
  <c r="S29" i="1"/>
  <c r="Q29" i="1"/>
  <c r="P29" i="1"/>
  <c r="AA28" i="1"/>
  <c r="Z28" i="1"/>
  <c r="Y28" i="1"/>
  <c r="W28" i="1"/>
  <c r="V28" i="1"/>
  <c r="U28" i="1"/>
  <c r="T28" i="1"/>
  <c r="S28" i="1"/>
  <c r="Q28" i="1"/>
  <c r="P28" i="1"/>
  <c r="E28" i="1"/>
  <c r="AA27" i="1"/>
  <c r="Z27" i="1"/>
  <c r="Y27" i="1"/>
  <c r="W27" i="1"/>
  <c r="V27" i="1"/>
  <c r="U27" i="1"/>
  <c r="S27" i="1"/>
  <c r="R27" i="1"/>
  <c r="P27" i="1"/>
  <c r="AA26" i="1"/>
  <c r="Z26" i="1"/>
  <c r="Y26" i="1"/>
  <c r="W26" i="1"/>
  <c r="V26" i="1"/>
  <c r="U26" i="1"/>
  <c r="T26" i="1"/>
  <c r="S26" i="1"/>
  <c r="Q26" i="1"/>
  <c r="P26" i="1"/>
  <c r="AA25" i="1"/>
  <c r="Z25" i="1"/>
  <c r="Y25" i="1"/>
  <c r="W25" i="1"/>
  <c r="V25" i="1"/>
  <c r="U25" i="1"/>
  <c r="T25" i="1"/>
  <c r="S25" i="1"/>
  <c r="R25" i="1"/>
  <c r="Q25" i="1"/>
  <c r="P25" i="1"/>
  <c r="AA24" i="1"/>
  <c r="Z24" i="1"/>
  <c r="Y24" i="1"/>
  <c r="W24" i="1"/>
  <c r="V24" i="1"/>
  <c r="U24" i="1"/>
  <c r="T24" i="1"/>
  <c r="S24" i="1"/>
  <c r="Q24" i="1"/>
  <c r="P24" i="1"/>
  <c r="AA23" i="1"/>
  <c r="Z23" i="1"/>
  <c r="Y23" i="1"/>
  <c r="W23" i="1"/>
  <c r="V23" i="1"/>
  <c r="U23" i="1"/>
  <c r="T23" i="1"/>
  <c r="S23" i="1"/>
  <c r="Q23" i="1"/>
  <c r="P23" i="1"/>
  <c r="AA22" i="1"/>
  <c r="Z22" i="1"/>
  <c r="Y22" i="1"/>
  <c r="W22" i="1"/>
  <c r="V22" i="1"/>
  <c r="U22" i="1"/>
  <c r="T22" i="1"/>
  <c r="S22" i="1"/>
  <c r="Q22" i="1"/>
  <c r="P22" i="1"/>
  <c r="AA21" i="1"/>
  <c r="Z21" i="1"/>
  <c r="Y21" i="1"/>
  <c r="W21" i="1"/>
  <c r="V21" i="1"/>
  <c r="U21" i="1"/>
  <c r="T21" i="1"/>
  <c r="S21" i="1"/>
  <c r="R21" i="1"/>
  <c r="Q21" i="1"/>
  <c r="P21" i="1"/>
  <c r="AA20" i="1"/>
  <c r="Z20" i="1"/>
  <c r="Y20" i="1"/>
  <c r="W20" i="1"/>
  <c r="V20" i="1"/>
  <c r="U20" i="1"/>
  <c r="T20" i="1"/>
  <c r="S20" i="1"/>
  <c r="Q20" i="1"/>
  <c r="P20" i="1"/>
  <c r="AA19" i="1"/>
  <c r="Z19" i="1"/>
  <c r="Y19" i="1"/>
  <c r="W19" i="1"/>
  <c r="V19" i="1"/>
  <c r="U19" i="1"/>
  <c r="T19" i="1"/>
  <c r="S19" i="1"/>
  <c r="Q19" i="1"/>
  <c r="P19" i="1"/>
  <c r="AA18" i="1"/>
  <c r="Z18" i="1"/>
  <c r="Y18" i="1"/>
  <c r="W18" i="1"/>
  <c r="V18" i="1"/>
  <c r="U18" i="1"/>
  <c r="T18" i="1"/>
  <c r="S18" i="1"/>
  <c r="Q18" i="1"/>
  <c r="P18" i="1"/>
  <c r="AA17" i="1"/>
  <c r="Z17" i="1"/>
  <c r="Y17" i="1"/>
  <c r="W17" i="1"/>
  <c r="V17" i="1"/>
  <c r="U17" i="1"/>
  <c r="T17" i="1"/>
  <c r="S17" i="1"/>
  <c r="R17" i="1"/>
  <c r="Q17" i="1"/>
  <c r="P17" i="1"/>
  <c r="AA16" i="1"/>
  <c r="Z16" i="1"/>
  <c r="Y16" i="1"/>
  <c r="W16" i="1"/>
  <c r="V16" i="1"/>
  <c r="U16" i="1"/>
  <c r="T16" i="1"/>
  <c r="S16" i="1"/>
  <c r="Q16" i="1"/>
  <c r="P16" i="1"/>
  <c r="AA15" i="1"/>
  <c r="Z15" i="1"/>
  <c r="Y15" i="1"/>
  <c r="W15" i="1"/>
  <c r="V15" i="1"/>
  <c r="U15" i="1"/>
  <c r="T15" i="1"/>
  <c r="S15" i="1"/>
  <c r="Q15" i="1"/>
  <c r="P15" i="1"/>
  <c r="AA14" i="1"/>
  <c r="Z14" i="1"/>
  <c r="Y14" i="1"/>
  <c r="W14" i="1"/>
  <c r="V14" i="1"/>
  <c r="U14" i="1"/>
  <c r="T14" i="1"/>
  <c r="S14" i="1"/>
  <c r="Q14" i="1"/>
  <c r="P14" i="1"/>
  <c r="AA13" i="1"/>
  <c r="Z13" i="1"/>
  <c r="Y13" i="1"/>
  <c r="W13" i="1"/>
  <c r="V13" i="1"/>
  <c r="U13" i="1"/>
  <c r="T13" i="1"/>
  <c r="S13" i="1"/>
  <c r="Q13" i="1"/>
  <c r="P13" i="1"/>
  <c r="AA12" i="1"/>
  <c r="Z12" i="1"/>
  <c r="Y12" i="1"/>
  <c r="X12" i="1"/>
  <c r="W12" i="1"/>
  <c r="V12" i="1"/>
  <c r="U12" i="1"/>
  <c r="T12" i="1"/>
  <c r="S12" i="1"/>
  <c r="Q12" i="1"/>
  <c r="P12" i="1"/>
  <c r="AA11" i="1"/>
  <c r="Z11" i="1"/>
  <c r="Y11" i="1"/>
  <c r="W11" i="1"/>
  <c r="V11" i="1"/>
  <c r="U11" i="1"/>
  <c r="T11" i="1"/>
  <c r="S11" i="1"/>
  <c r="Q11" i="1"/>
  <c r="P11" i="1"/>
  <c r="AA10" i="1"/>
  <c r="Z10" i="1"/>
  <c r="Y10" i="1"/>
  <c r="W10" i="1"/>
  <c r="V10" i="1"/>
  <c r="U10" i="1"/>
  <c r="T10" i="1"/>
  <c r="S10" i="1"/>
  <c r="Q10" i="1"/>
  <c r="P10" i="1"/>
  <c r="O9" i="1"/>
  <c r="N9" i="1"/>
  <c r="M9" i="1"/>
  <c r="K9" i="1"/>
  <c r="J9" i="1"/>
  <c r="I9" i="1"/>
  <c r="H9" i="1"/>
  <c r="G9" i="1"/>
  <c r="F9" i="1"/>
  <c r="D9" i="1"/>
  <c r="C9" i="1"/>
  <c r="B9" i="1"/>
  <c r="AJ3" i="1"/>
  <c r="BU34" i="3" l="1"/>
  <c r="X31" i="1"/>
  <c r="S35" i="12"/>
  <c r="S36" i="12" s="1"/>
  <c r="AC166" i="1"/>
  <c r="AC165" i="1"/>
  <c r="I167" i="1"/>
  <c r="V167" i="1" s="1"/>
  <c r="AC15" i="1"/>
  <c r="T173" i="1"/>
  <c r="AG164" i="1"/>
  <c r="AE20" i="1"/>
  <c r="AG16" i="1"/>
  <c r="AB21" i="1"/>
  <c r="AF21" i="1"/>
  <c r="AD20" i="1"/>
  <c r="AB20" i="1"/>
  <c r="AG20" i="1"/>
  <c r="AC21" i="1"/>
  <c r="AG88" i="1"/>
  <c r="AF20" i="1"/>
  <c r="AC20" i="1"/>
  <c r="AE21" i="1"/>
  <c r="AE36" i="1"/>
  <c r="T40" i="1"/>
  <c r="AG13" i="1"/>
  <c r="T39" i="1"/>
  <c r="L10" i="1"/>
  <c r="X10" i="1" s="1"/>
  <c r="AG10" i="1"/>
  <c r="AD148" i="1"/>
  <c r="AF105" i="1"/>
  <c r="Y39" i="1"/>
  <c r="X39" i="1"/>
  <c r="AG37" i="1"/>
  <c r="Z173" i="1"/>
  <c r="AC142" i="1"/>
  <c r="AC144" i="1"/>
  <c r="AG105" i="1"/>
  <c r="AB107" i="1"/>
  <c r="AC109" i="1"/>
  <c r="AC110" i="1"/>
  <c r="AE15" i="1"/>
  <c r="AC107" i="1"/>
  <c r="AC90" i="1"/>
  <c r="AC67" i="1"/>
  <c r="AB113" i="1"/>
  <c r="AC11" i="1"/>
  <c r="P39" i="1"/>
  <c r="P40" i="1"/>
  <c r="R165" i="1"/>
  <c r="B165" i="1"/>
  <c r="P165" i="1" s="1"/>
  <c r="BV34" i="3"/>
  <c r="BU35" i="3"/>
  <c r="BQ34" i="3"/>
  <c r="BP35" i="3"/>
  <c r="AC12" i="1"/>
  <c r="Q39" i="1"/>
  <c r="U39" i="1"/>
  <c r="CC34" i="3"/>
  <c r="CB35" i="3"/>
  <c r="Q40" i="1"/>
  <c r="Y40" i="1"/>
  <c r="R39" i="1"/>
  <c r="V39" i="1"/>
  <c r="Z39" i="1"/>
  <c r="AH20" i="1"/>
  <c r="CG34" i="3"/>
  <c r="CG35" i="3" s="1"/>
  <c r="V40" i="1"/>
  <c r="Z40" i="1"/>
  <c r="AF40" i="1" s="1"/>
  <c r="X165" i="1"/>
  <c r="AD165" i="1" s="1"/>
  <c r="AI165" i="1" s="1"/>
  <c r="I165" i="1"/>
  <c r="V165" i="1" s="1"/>
  <c r="AL14" i="1"/>
  <c r="DN34" i="3"/>
  <c r="DN35" i="3" s="1"/>
  <c r="CI34" i="3"/>
  <c r="CI35" i="3" s="1"/>
  <c r="U40" i="1"/>
  <c r="S39" i="1"/>
  <c r="W39" i="1"/>
  <c r="AA39" i="1"/>
  <c r="AB17" i="1"/>
  <c r="S40" i="1"/>
  <c r="W40" i="1"/>
  <c r="AA40" i="1"/>
  <c r="AG122" i="1"/>
  <c r="AC106" i="1"/>
  <c r="AG159" i="1"/>
  <c r="AC159" i="1"/>
  <c r="AG148" i="1"/>
  <c r="AD144" i="1"/>
  <c r="AC141" i="1"/>
  <c r="AE141" i="1"/>
  <c r="AC121" i="1"/>
  <c r="L117" i="1"/>
  <c r="X117" i="1" s="1"/>
  <c r="AD117" i="1" s="1"/>
  <c r="AG66" i="1"/>
  <c r="AG62" i="1"/>
  <c r="AB61" i="1"/>
  <c r="AD59" i="1"/>
  <c r="AC56" i="1"/>
  <c r="AB36" i="1"/>
  <c r="Z42" i="1"/>
  <c r="Z43" i="1" s="1"/>
  <c r="AB33" i="1"/>
  <c r="AD141" i="1"/>
  <c r="AF85" i="1"/>
  <c r="AC148" i="1"/>
  <c r="M3" i="1"/>
  <c r="S42" i="1"/>
  <c r="S43" i="1" s="1"/>
  <c r="W42" i="1"/>
  <c r="W43" i="1" s="1"/>
  <c r="AC36" i="1"/>
  <c r="G133" i="1"/>
  <c r="T133" i="1" s="1"/>
  <c r="T135" i="1" s="1"/>
  <c r="K133" i="1"/>
  <c r="K149" i="1" s="1"/>
  <c r="W149" i="1" s="1"/>
  <c r="AC59" i="1"/>
  <c r="AF62" i="1"/>
  <c r="AD121" i="1"/>
  <c r="AD123" i="1"/>
  <c r="AE123" i="1"/>
  <c r="AE142" i="1"/>
  <c r="X160" i="1"/>
  <c r="CP34" i="3" s="1"/>
  <c r="CP35" i="3" s="1"/>
  <c r="X161" i="1"/>
  <c r="AD161" i="1" s="1"/>
  <c r="E162" i="1"/>
  <c r="AH25" i="1"/>
  <c r="AF159" i="1"/>
  <c r="AF54" i="1"/>
  <c r="AB55" i="1"/>
  <c r="AB80" i="1"/>
  <c r="AG80" i="1"/>
  <c r="AC82" i="1"/>
  <c r="AF86" i="1"/>
  <c r="AF106" i="1"/>
  <c r="AE107" i="1"/>
  <c r="AC118" i="1"/>
  <c r="AG121" i="1"/>
  <c r="AB141" i="1"/>
  <c r="AF141" i="1"/>
  <c r="AE144" i="1"/>
  <c r="AD36" i="1"/>
  <c r="AE37" i="1"/>
  <c r="AF70" i="1"/>
  <c r="AC72" i="1"/>
  <c r="AG76" i="1"/>
  <c r="AE118" i="1"/>
  <c r="AF120" i="1"/>
  <c r="AB123" i="1"/>
  <c r="AB124" i="1"/>
  <c r="AE161" i="1"/>
  <c r="AH12" i="1"/>
  <c r="AE13" i="1"/>
  <c r="AB18" i="1"/>
  <c r="Q42" i="1"/>
  <c r="Q43" i="1" s="1"/>
  <c r="AB32" i="1"/>
  <c r="AG34" i="1"/>
  <c r="O133" i="1"/>
  <c r="O149" i="1" s="1"/>
  <c r="AA149" i="1" s="1"/>
  <c r="AC55" i="1"/>
  <c r="AB64" i="1"/>
  <c r="AF72" i="1"/>
  <c r="AD76" i="1"/>
  <c r="AF79" i="1"/>
  <c r="AC117" i="1"/>
  <c r="AE121" i="1"/>
  <c r="AC122" i="1"/>
  <c r="AE124" i="1"/>
  <c r="AC143" i="1"/>
  <c r="AB148" i="1"/>
  <c r="AF148" i="1"/>
  <c r="B159" i="1"/>
  <c r="P159" i="1" s="1"/>
  <c r="AB159" i="1" s="1"/>
  <c r="X159" i="1"/>
  <c r="AG160" i="1"/>
  <c r="AG165" i="1"/>
  <c r="AE165" i="1"/>
  <c r="AF73" i="1"/>
  <c r="AB76" i="1"/>
  <c r="AB77" i="1"/>
  <c r="AC84" i="1"/>
  <c r="AI12" i="1"/>
  <c r="AC18" i="1"/>
  <c r="AE26" i="1"/>
  <c r="AF34" i="1"/>
  <c r="AF36" i="1"/>
  <c r="I133" i="1"/>
  <c r="I149" i="1" s="1"/>
  <c r="V149" i="1" s="1"/>
  <c r="AC62" i="1"/>
  <c r="AF75" i="1"/>
  <c r="AD84" i="1"/>
  <c r="AE105" i="1"/>
  <c r="AF107" i="1"/>
  <c r="AE112" i="1"/>
  <c r="AD112" i="1"/>
  <c r="AF114" i="1"/>
  <c r="AF115" i="1"/>
  <c r="AF116" i="1"/>
  <c r="AG118" i="1"/>
  <c r="AB143" i="1"/>
  <c r="AF165" i="1"/>
  <c r="AG24" i="1"/>
  <c r="AC24" i="1"/>
  <c r="AE23" i="1"/>
  <c r="AD23" i="1"/>
  <c r="AF23" i="1"/>
  <c r="AG23" i="1"/>
  <c r="AC23" i="1"/>
  <c r="AE22" i="1"/>
  <c r="AG22" i="1"/>
  <c r="AC22" i="1"/>
  <c r="L40" i="1"/>
  <c r="AI19" i="1"/>
  <c r="AG18" i="1"/>
  <c r="AF18" i="1"/>
  <c r="AE18" i="1"/>
  <c r="AD15" i="1"/>
  <c r="AG52" i="1"/>
  <c r="AB52" i="1"/>
  <c r="AF14" i="1"/>
  <c r="AC10" i="1"/>
  <c r="AE10" i="1"/>
  <c r="L39" i="1"/>
  <c r="AC13" i="1"/>
  <c r="E39" i="1"/>
  <c r="AG11" i="1"/>
  <c r="X9" i="1"/>
  <c r="AC131" i="1"/>
  <c r="AD167" i="1"/>
  <c r="AI167" i="1" s="1"/>
  <c r="AE167" i="1"/>
  <c r="AG161" i="1"/>
  <c r="AG162" i="1"/>
  <c r="AE160" i="1"/>
  <c r="B167" i="1"/>
  <c r="P167" i="1" s="1"/>
  <c r="AB167" i="1" s="1"/>
  <c r="AE166" i="1"/>
  <c r="AG167" i="1"/>
  <c r="AG166" i="1"/>
  <c r="AF166" i="1"/>
  <c r="AG163" i="1"/>
  <c r="AE163" i="1"/>
  <c r="AF163" i="1"/>
  <c r="R160" i="1"/>
  <c r="CL34" i="3" s="1"/>
  <c r="CL35" i="3" s="1"/>
  <c r="AE159" i="1"/>
  <c r="B161" i="1"/>
  <c r="P161" i="1" s="1"/>
  <c r="AB161" i="1" s="1"/>
  <c r="S162" i="1"/>
  <c r="AE162" i="1" s="1"/>
  <c r="AC167" i="1"/>
  <c r="AC160" i="1"/>
  <c r="AC163" i="1"/>
  <c r="AD142" i="1"/>
  <c r="AF142" i="1"/>
  <c r="AG141" i="1"/>
  <c r="AG142" i="1"/>
  <c r="AE148" i="1"/>
  <c r="AB142" i="1"/>
  <c r="AB144" i="1"/>
  <c r="AB146" i="1"/>
  <c r="L29" i="1"/>
  <c r="X29" i="1" s="1"/>
  <c r="DI34" i="3" s="1"/>
  <c r="X131" i="1"/>
  <c r="AD131" i="1" s="1"/>
  <c r="L52" i="1"/>
  <c r="X52" i="1" s="1"/>
  <c r="X51" i="1" s="1"/>
  <c r="AE55" i="1"/>
  <c r="AG64" i="1"/>
  <c r="AD70" i="1"/>
  <c r="AG72" i="1"/>
  <c r="AF80" i="1"/>
  <c r="AE84" i="1"/>
  <c r="AF90" i="1"/>
  <c r="AE57" i="1"/>
  <c r="AG70" i="1"/>
  <c r="AH13" i="1"/>
  <c r="AH17" i="1"/>
  <c r="AH18" i="1"/>
  <c r="AH14" i="1"/>
  <c r="L9" i="1"/>
  <c r="AH15" i="1"/>
  <c r="AD25" i="1"/>
  <c r="X21" i="1"/>
  <c r="AI16" i="1"/>
  <c r="AF33" i="1"/>
  <c r="AE11" i="1"/>
  <c r="AF15" i="1"/>
  <c r="AF11" i="1"/>
  <c r="AF13" i="1"/>
  <c r="AG14" i="1"/>
  <c r="AG15" i="1"/>
  <c r="AG25" i="1"/>
  <c r="AD37" i="1"/>
  <c r="E10" i="1"/>
  <c r="R10" i="1" s="1"/>
  <c r="E29" i="1"/>
  <c r="R29" i="1" s="1"/>
  <c r="DH34" i="3" s="1"/>
  <c r="DH35" i="3" s="1"/>
  <c r="E52" i="1"/>
  <c r="R52" i="1" s="1"/>
  <c r="AD105" i="1"/>
  <c r="AG57" i="1"/>
  <c r="AF58" i="1"/>
  <c r="AG59" i="1"/>
  <c r="AD64" i="1"/>
  <c r="AC66" i="1"/>
  <c r="AD74" i="1"/>
  <c r="AG78" i="1"/>
  <c r="AD80" i="1"/>
  <c r="AE80" i="1"/>
  <c r="AF82" i="1"/>
  <c r="AC83" i="1"/>
  <c r="AF83" i="1"/>
  <c r="AG86" i="1"/>
  <c r="AE88" i="1"/>
  <c r="AF117" i="1"/>
  <c r="AF118" i="1"/>
  <c r="AB125" i="1"/>
  <c r="AF125" i="1"/>
  <c r="AF127" i="1"/>
  <c r="AF60" i="1"/>
  <c r="AE53" i="1"/>
  <c r="AG61" i="1"/>
  <c r="AD68" i="1"/>
  <c r="AC74" i="1"/>
  <c r="AE78" i="1"/>
  <c r="AC80" i="1"/>
  <c r="AG81" i="1"/>
  <c r="AF84" i="1"/>
  <c r="AD86" i="1"/>
  <c r="AB90" i="1"/>
  <c r="AD107" i="1"/>
  <c r="AG114" i="1"/>
  <c r="AG115" i="1"/>
  <c r="AD119" i="1"/>
  <c r="AE120" i="1"/>
  <c r="AB121" i="1"/>
  <c r="AF128" i="1"/>
  <c r="AB53" i="1"/>
  <c r="AB78" i="1"/>
  <c r="AC88" i="1"/>
  <c r="AB112" i="1"/>
  <c r="AB117" i="1"/>
  <c r="AC120" i="1"/>
  <c r="AC126" i="1"/>
  <c r="AC128" i="1"/>
  <c r="AC65" i="1"/>
  <c r="AB74" i="1"/>
  <c r="AB82" i="1"/>
  <c r="AC85" i="1"/>
  <c r="AB105" i="1"/>
  <c r="AB110" i="1"/>
  <c r="AC125" i="1"/>
  <c r="AG60" i="1"/>
  <c r="AD82" i="1"/>
  <c r="AD55" i="1"/>
  <c r="AF57" i="1"/>
  <c r="AC60" i="1"/>
  <c r="AB79" i="1"/>
  <c r="AG55" i="1"/>
  <c r="AE59" i="1"/>
  <c r="AF67" i="1"/>
  <c r="AE70" i="1"/>
  <c r="AF77" i="1"/>
  <c r="AB88" i="1"/>
  <c r="AG90" i="1"/>
  <c r="AE90" i="1"/>
  <c r="AC91" i="1"/>
  <c r="AG119" i="1"/>
  <c r="AE119" i="1"/>
  <c r="AF121" i="1"/>
  <c r="AF124" i="1"/>
  <c r="B130" i="1"/>
  <c r="P130" i="1" s="1"/>
  <c r="AC52" i="1"/>
  <c r="AC53" i="1"/>
  <c r="AF55" i="1"/>
  <c r="AB57" i="1"/>
  <c r="AC58" i="1"/>
  <c r="AB59" i="1"/>
  <c r="AF59" i="1"/>
  <c r="AB60" i="1"/>
  <c r="AC61" i="1"/>
  <c r="AD62" i="1"/>
  <c r="AE62" i="1"/>
  <c r="AC63" i="1"/>
  <c r="AC64" i="1"/>
  <c r="AF65" i="1"/>
  <c r="AB66" i="1"/>
  <c r="AC68" i="1"/>
  <c r="AG71" i="1"/>
  <c r="AE72" i="1"/>
  <c r="AG74" i="1"/>
  <c r="AE74" i="1"/>
  <c r="AF76" i="1"/>
  <c r="AG77" i="1"/>
  <c r="AC78" i="1"/>
  <c r="AC79" i="1"/>
  <c r="AF81" i="1"/>
  <c r="AG82" i="1"/>
  <c r="AE82" i="1"/>
  <c r="AB86" i="1"/>
  <c r="AF88" i="1"/>
  <c r="AD88" i="1"/>
  <c r="AF89" i="1"/>
  <c r="AF91" i="1"/>
  <c r="AF112" i="1"/>
  <c r="AB114" i="1"/>
  <c r="AB115" i="1"/>
  <c r="AB116" i="1"/>
  <c r="AG117" i="1"/>
  <c r="AE117" i="1"/>
  <c r="AC119" i="1"/>
  <c r="AB119" i="1"/>
  <c r="AF119" i="1"/>
  <c r="AF122" i="1"/>
  <c r="AD124" i="1"/>
  <c r="AC124" i="1"/>
  <c r="AG124" i="1"/>
  <c r="T129" i="1"/>
  <c r="AF52" i="1"/>
  <c r="AG53" i="1"/>
  <c r="AF53" i="1"/>
  <c r="AC57" i="1"/>
  <c r="AB62" i="1"/>
  <c r="AG63" i="1"/>
  <c r="AB68" i="1"/>
  <c r="AF69" i="1"/>
  <c r="AC70" i="1"/>
  <c r="AB70" i="1"/>
  <c r="AC71" i="1"/>
  <c r="AF71" i="1"/>
  <c r="AB72" i="1"/>
  <c r="AE76" i="1"/>
  <c r="AC77" i="1"/>
  <c r="AF78" i="1"/>
  <c r="AB84" i="1"/>
  <c r="AG84" i="1"/>
  <c r="AE86" i="1"/>
  <c r="AC86" i="1"/>
  <c r="AG87" i="1"/>
  <c r="AB91" i="1"/>
  <c r="AC105" i="1"/>
  <c r="AB109" i="1"/>
  <c r="AC112" i="1"/>
  <c r="AE114" i="1"/>
  <c r="AC114" i="1"/>
  <c r="AE115" i="1"/>
  <c r="AC115" i="1"/>
  <c r="AC116" i="1"/>
  <c r="AB118" i="1"/>
  <c r="AB120" i="1"/>
  <c r="AF126" i="1"/>
  <c r="AC127" i="1"/>
  <c r="V129" i="1"/>
  <c r="AB129" i="1" s="1"/>
  <c r="E150" i="1"/>
  <c r="AB131" i="1"/>
  <c r="R9" i="1"/>
  <c r="AD13" i="1"/>
  <c r="AH19" i="1"/>
  <c r="AK19" i="1"/>
  <c r="E40" i="1"/>
  <c r="AD22" i="1"/>
  <c r="AD11" i="1"/>
  <c r="AC16" i="1"/>
  <c r="AE16" i="1"/>
  <c r="AI18" i="1"/>
  <c r="AB22" i="1"/>
  <c r="AB23" i="1"/>
  <c r="AB24" i="1"/>
  <c r="AB25" i="1"/>
  <c r="AI32" i="1"/>
  <c r="AJ32" i="1" s="1"/>
  <c r="AD34" i="1"/>
  <c r="AE34" i="1"/>
  <c r="AG36" i="1"/>
  <c r="AC37" i="1"/>
  <c r="AF37" i="1"/>
  <c r="AC14" i="1"/>
  <c r="AE14" i="1"/>
  <c r="AC25" i="1"/>
  <c r="AE25" i="1"/>
  <c r="AB26" i="1"/>
  <c r="AB29" i="1"/>
  <c r="AB16" i="1"/>
  <c r="AB37" i="1"/>
  <c r="AC32" i="1"/>
  <c r="AC34" i="1"/>
  <c r="AF10" i="1"/>
  <c r="AH11" i="1"/>
  <c r="AB10" i="1"/>
  <c r="AG29" i="1"/>
  <c r="AE29" i="1"/>
  <c r="AI31" i="1"/>
  <c r="AJ31" i="1" s="1"/>
  <c r="AK31" i="1" s="1"/>
  <c r="AC29" i="1"/>
  <c r="V42" i="1"/>
  <c r="V43" i="1" s="1"/>
  <c r="AF31" i="1"/>
  <c r="T42" i="1"/>
  <c r="T43" i="1" s="1"/>
  <c r="T38" i="1"/>
  <c r="AF38" i="1" s="1"/>
  <c r="B43" i="1"/>
  <c r="P43" i="1" s="1"/>
  <c r="AG26" i="1"/>
  <c r="I41" i="1"/>
  <c r="E9" i="1"/>
  <c r="K41" i="1"/>
  <c r="M41" i="1"/>
  <c r="M133" i="1"/>
  <c r="M135" i="1" s="1"/>
  <c r="AI27" i="1"/>
  <c r="AJ27" i="1" s="1"/>
  <c r="V38" i="1"/>
  <c r="AB38" i="1" s="1"/>
  <c r="G41" i="1"/>
  <c r="O41" i="1"/>
  <c r="AI17" i="1"/>
  <c r="AC17" i="1"/>
  <c r="AH24" i="1"/>
  <c r="AD24" i="1"/>
  <c r="AI20" i="1"/>
  <c r="AF22" i="1"/>
  <c r="AF29" i="1"/>
  <c r="X45" i="1"/>
  <c r="AA42" i="1"/>
  <c r="AA43" i="1" s="1"/>
  <c r="AF74" i="1"/>
  <c r="AI11" i="1"/>
  <c r="AB11" i="1"/>
  <c r="AI13" i="1"/>
  <c r="AB13" i="1"/>
  <c r="AD14" i="1"/>
  <c r="AI15" i="1"/>
  <c r="AB15" i="1"/>
  <c r="AH23" i="1"/>
  <c r="AF25" i="1"/>
  <c r="AD26" i="1"/>
  <c r="AH26" i="1"/>
  <c r="AG31" i="1"/>
  <c r="AI36" i="1"/>
  <c r="AJ36" i="1" s="1"/>
  <c r="H133" i="1"/>
  <c r="H41" i="1"/>
  <c r="U38" i="1"/>
  <c r="AD57" i="1"/>
  <c r="AC76" i="1"/>
  <c r="AI14" i="1"/>
  <c r="AB14" i="1"/>
  <c r="AH22" i="1"/>
  <c r="U42" i="1"/>
  <c r="U43" i="1" s="1"/>
  <c r="R45" i="1"/>
  <c r="AD33" i="1"/>
  <c r="L129" i="1"/>
  <c r="X53" i="1"/>
  <c r="AD61" i="1"/>
  <c r="AD66" i="1"/>
  <c r="AD72" i="1"/>
  <c r="AG73" i="1"/>
  <c r="D41" i="1"/>
  <c r="D133" i="1"/>
  <c r="Q38" i="1"/>
  <c r="AE52" i="1"/>
  <c r="AC54" i="1"/>
  <c r="AD114" i="1"/>
  <c r="R118" i="1"/>
  <c r="AD118" i="1" s="1"/>
  <c r="AJ19" i="1"/>
  <c r="AH16" i="1"/>
  <c r="AI25" i="1"/>
  <c r="AI26" i="1"/>
  <c r="AJ26" i="1" s="1"/>
  <c r="AH27" i="1"/>
  <c r="E42" i="1"/>
  <c r="AC31" i="1"/>
  <c r="AI33" i="1"/>
  <c r="AJ33" i="1" s="1"/>
  <c r="AI34" i="1"/>
  <c r="AJ34" i="1" s="1"/>
  <c r="AI37" i="1"/>
  <c r="AJ37" i="1" s="1"/>
  <c r="F133" i="1"/>
  <c r="S38" i="1"/>
  <c r="AE38" i="1" s="1"/>
  <c r="F41" i="1"/>
  <c r="N133" i="1"/>
  <c r="N41" i="1"/>
  <c r="AF61" i="1"/>
  <c r="AF64" i="1"/>
  <c r="AC73" i="1"/>
  <c r="AD78" i="1"/>
  <c r="AG79" i="1"/>
  <c r="AC108" i="1"/>
  <c r="AB160" i="1"/>
  <c r="AD115" i="1"/>
  <c r="AD116" i="1"/>
  <c r="AD16" i="1"/>
  <c r="AI22" i="1"/>
  <c r="AI23" i="1"/>
  <c r="AI24" i="1"/>
  <c r="R28" i="1"/>
  <c r="AH28" i="1" s="1"/>
  <c r="Y42" i="1"/>
  <c r="Y43" i="1" s="1"/>
  <c r="AE31" i="1"/>
  <c r="B133" i="1"/>
  <c r="B41" i="1"/>
  <c r="P41" i="1" s="1"/>
  <c r="L42" i="1"/>
  <c r="X42" i="1"/>
  <c r="L132" i="1"/>
  <c r="AG54" i="1"/>
  <c r="AF56" i="1"/>
  <c r="AG58" i="1"/>
  <c r="AF66" i="1"/>
  <c r="AG68" i="1"/>
  <c r="AC75" i="1"/>
  <c r="R77" i="1"/>
  <c r="R120" i="1"/>
  <c r="AD120" i="1" s="1"/>
  <c r="I163" i="1"/>
  <c r="X163" i="1"/>
  <c r="AB12" i="1"/>
  <c r="AJ12" i="1"/>
  <c r="AB31" i="1"/>
  <c r="AB34" i="1"/>
  <c r="AK35" i="1"/>
  <c r="AD90" i="1"/>
  <c r="AG106" i="1"/>
  <c r="AF160" i="1"/>
  <c r="AF161" i="1"/>
  <c r="R162" i="1"/>
  <c r="B162" i="1"/>
  <c r="P162" i="1" s="1"/>
  <c r="Z162" i="1"/>
  <c r="AF162" i="1" s="1"/>
  <c r="L162" i="1"/>
  <c r="D130" i="1"/>
  <c r="Q130" i="1" s="1"/>
  <c r="Q164" i="1"/>
  <c r="AD18" i="1"/>
  <c r="R31" i="1"/>
  <c r="W38" i="1"/>
  <c r="AA38" i="1"/>
  <c r="E129" i="1"/>
  <c r="R53" i="1"/>
  <c r="E132" i="1"/>
  <c r="R54" i="1"/>
  <c r="AC81" i="1"/>
  <c r="AG83" i="1"/>
  <c r="AG85" i="1"/>
  <c r="AC113" i="1"/>
  <c r="AC123" i="1"/>
  <c r="S129" i="1"/>
  <c r="F130" i="1"/>
  <c r="S130" i="1" s="1"/>
  <c r="Z129" i="1"/>
  <c r="R163" i="1"/>
  <c r="B163" i="1"/>
  <c r="P163" i="1" s="1"/>
  <c r="W164" i="1"/>
  <c r="AG120" i="1"/>
  <c r="X134" i="1"/>
  <c r="L150" i="1"/>
  <c r="E164" i="1"/>
  <c r="R164" i="1" s="1"/>
  <c r="CU34" i="3" s="1"/>
  <c r="CU35" i="3" s="1"/>
  <c r="L164" i="1"/>
  <c r="X164" i="1" s="1"/>
  <c r="S164" i="1"/>
  <c r="AE164" i="1" s="1"/>
  <c r="R166" i="1"/>
  <c r="B166" i="1"/>
  <c r="P166" i="1" s="1"/>
  <c r="H130" i="1"/>
  <c r="U130" i="1" s="1"/>
  <c r="AF131" i="1"/>
  <c r="AF164" i="1"/>
  <c r="I166" i="1"/>
  <c r="V166" i="1" s="1"/>
  <c r="X166" i="1"/>
  <c r="W129" i="1"/>
  <c r="AC129" i="1" s="1"/>
  <c r="AA129" i="1"/>
  <c r="AG129" i="1" s="1"/>
  <c r="Y129" i="1"/>
  <c r="BA34" i="3" l="1"/>
  <c r="BA35" i="3" s="1"/>
  <c r="G38" i="5"/>
  <c r="G39" i="5" s="1"/>
  <c r="AK163" i="1"/>
  <c r="V163" i="1"/>
  <c r="I170" i="1"/>
  <c r="W169" i="1"/>
  <c r="R172" i="1"/>
  <c r="CJ34" i="3"/>
  <c r="AH21" i="1"/>
  <c r="AD21" i="1"/>
  <c r="X40" i="1"/>
  <c r="AB40" i="1"/>
  <c r="AG40" i="1"/>
  <c r="AE40" i="1"/>
  <c r="AC40" i="1"/>
  <c r="AE39" i="1"/>
  <c r="AB39" i="1"/>
  <c r="AF39" i="1"/>
  <c r="AC39" i="1"/>
  <c r="AL15" i="1"/>
  <c r="AD10" i="1"/>
  <c r="AG39" i="1"/>
  <c r="AB165" i="1"/>
  <c r="R42" i="1"/>
  <c r="R43" i="1" s="1"/>
  <c r="AZ34" i="3"/>
  <c r="DJ34" i="3"/>
  <c r="DI35" i="3"/>
  <c r="I164" i="1"/>
  <c r="V164" i="1" s="1"/>
  <c r="E43" i="1"/>
  <c r="B164" i="1"/>
  <c r="P164" i="1" s="1"/>
  <c r="X171" i="1"/>
  <c r="X169" i="1"/>
  <c r="CV34" i="3"/>
  <c r="CV35" i="3" s="1"/>
  <c r="X170" i="1"/>
  <c r="R40" i="1"/>
  <c r="L38" i="1"/>
  <c r="X38" i="1" s="1"/>
  <c r="AE34" i="3" s="1"/>
  <c r="AD159" i="1"/>
  <c r="CN34" i="3"/>
  <c r="CN35" i="3" s="1"/>
  <c r="R173" i="1"/>
  <c r="AD160" i="1"/>
  <c r="K135" i="1"/>
  <c r="L43" i="1"/>
  <c r="W133" i="1"/>
  <c r="W135" i="1" s="1"/>
  <c r="G135" i="1"/>
  <c r="O135" i="1"/>
  <c r="AA133" i="1"/>
  <c r="AA135" i="1" s="1"/>
  <c r="G149" i="1"/>
  <c r="T149" i="1" s="1"/>
  <c r="I135" i="1"/>
  <c r="V133" i="1"/>
  <c r="V135" i="1" s="1"/>
  <c r="AD52" i="1"/>
  <c r="AF129" i="1"/>
  <c r="E38" i="1"/>
  <c r="E133" i="1" s="1"/>
  <c r="Y133" i="1"/>
  <c r="Y135" i="1" s="1"/>
  <c r="AI21" i="1"/>
  <c r="AH9" i="1"/>
  <c r="AD39" i="1"/>
  <c r="AK38" i="1"/>
  <c r="AB166" i="1"/>
  <c r="AD164" i="1"/>
  <c r="AI164" i="1" s="1"/>
  <c r="AD29" i="1"/>
  <c r="AI29" i="1"/>
  <c r="AJ29" i="1" s="1"/>
  <c r="AD53" i="1"/>
  <c r="X43" i="1"/>
  <c r="M149" i="1"/>
  <c r="Y149" i="1" s="1"/>
  <c r="AC38" i="1"/>
  <c r="H149" i="1"/>
  <c r="U149" i="1" s="1"/>
  <c r="AG149" i="1" s="1"/>
  <c r="H135" i="1"/>
  <c r="U133" i="1"/>
  <c r="U135" i="1" s="1"/>
  <c r="AD166" i="1"/>
  <c r="AI166" i="1" s="1"/>
  <c r="I162" i="1"/>
  <c r="V162" i="1" s="1"/>
  <c r="AB162" i="1" s="1"/>
  <c r="X162" i="1"/>
  <c r="AD162" i="1" s="1"/>
  <c r="F149" i="1"/>
  <c r="S149" i="1" s="1"/>
  <c r="F135" i="1"/>
  <c r="S133" i="1"/>
  <c r="S135" i="1" s="1"/>
  <c r="X129" i="1"/>
  <c r="AL34" i="3" s="1"/>
  <c r="L130" i="1"/>
  <c r="X130" i="1" s="1"/>
  <c r="AE129" i="1"/>
  <c r="E130" i="1"/>
  <c r="R130" i="1" s="1"/>
  <c r="R129" i="1"/>
  <c r="AK34" i="3" s="1"/>
  <c r="AK35" i="3" s="1"/>
  <c r="AD163" i="1"/>
  <c r="AI163" i="1" s="1"/>
  <c r="AD31" i="1"/>
  <c r="N149" i="1"/>
  <c r="Z149" i="1" s="1"/>
  <c r="Z133" i="1"/>
  <c r="Z135" i="1" s="1"/>
  <c r="N135" i="1"/>
  <c r="D149" i="1"/>
  <c r="Q149" i="1" s="1"/>
  <c r="AC149" i="1" s="1"/>
  <c r="Q133" i="1"/>
  <c r="Q135" i="1" s="1"/>
  <c r="D135" i="1"/>
  <c r="AC164" i="1"/>
  <c r="AG38" i="1"/>
  <c r="B149" i="1"/>
  <c r="P149" i="1" s="1"/>
  <c r="AB149" i="1" s="1"/>
  <c r="B135" i="1"/>
  <c r="P133" i="1"/>
  <c r="P135" i="1" s="1"/>
  <c r="AB163" i="1" l="1"/>
  <c r="AJ163" i="1"/>
  <c r="AM20" i="1"/>
  <c r="AL23" i="1"/>
  <c r="AK20" i="1"/>
  <c r="AL20" i="1"/>
  <c r="V173" i="1"/>
  <c r="AD40" i="1"/>
  <c r="L41" i="1"/>
  <c r="E41" i="1"/>
  <c r="AM34" i="3"/>
  <c r="AL35" i="3"/>
  <c r="AE35" i="3"/>
  <c r="V169" i="1"/>
  <c r="L133" i="1"/>
  <c r="X133" i="1" s="1"/>
  <c r="X135" i="1" s="1"/>
  <c r="AI38" i="1"/>
  <c r="AJ38" i="1" s="1"/>
  <c r="AZ35" i="3"/>
  <c r="BB34" i="3"/>
  <c r="AF149" i="1"/>
  <c r="R38" i="1"/>
  <c r="AE149" i="1"/>
  <c r="R133" i="1"/>
  <c r="R135" i="1" s="1"/>
  <c r="E135" i="1"/>
  <c r="E149" i="1"/>
  <c r="R149" i="1" s="1"/>
  <c r="AD129" i="1"/>
  <c r="AB164" i="1"/>
  <c r="L149" i="1" l="1"/>
  <c r="X149" i="1" s="1"/>
  <c r="AD149" i="1" s="1"/>
  <c r="L135" i="1"/>
  <c r="AD38" i="1"/>
  <c r="AD34" i="3"/>
  <c r="AD35" i="3" l="1"/>
  <c r="AF34" i="3"/>
</calcChain>
</file>

<file path=xl/sharedStrings.xml><?xml version="1.0" encoding="utf-8"?>
<sst xmlns="http://schemas.openxmlformats.org/spreadsheetml/2006/main" count="2680" uniqueCount="1158">
  <si>
    <t>Показатели</t>
  </si>
  <si>
    <t>Процент выполнения (%)</t>
  </si>
  <si>
    <t>Консоли-дирован-ный бюджет области</t>
  </si>
  <si>
    <t>в том числе бюджеты:</t>
  </si>
  <si>
    <t>из них бюджеты:</t>
  </si>
  <si>
    <t>суммы подлежащие исключению</t>
  </si>
  <si>
    <t>област-ной</t>
  </si>
  <si>
    <t>консоли-дирован-ные бюджеты МО</t>
  </si>
  <si>
    <t>в т.ч.:</t>
  </si>
  <si>
    <t>город-ские</t>
  </si>
  <si>
    <t>район-ные</t>
  </si>
  <si>
    <t>поселе-ний</t>
  </si>
  <si>
    <t>посе-лений</t>
  </si>
  <si>
    <t>А</t>
  </si>
  <si>
    <t>1</t>
  </si>
  <si>
    <t>2</t>
  </si>
  <si>
    <t>3</t>
  </si>
  <si>
    <t>7</t>
  </si>
  <si>
    <t>8</t>
  </si>
  <si>
    <t>9</t>
  </si>
  <si>
    <t>13=7/1*100</t>
  </si>
  <si>
    <t>14=8/2*100</t>
  </si>
  <si>
    <t>15=9/3*100</t>
  </si>
  <si>
    <t>16=10/4*100</t>
  </si>
  <si>
    <t>17=11/5*100</t>
  </si>
  <si>
    <t>18=12/6*100</t>
  </si>
  <si>
    <t>ДОХОДЫ (по форме 0503317)</t>
  </si>
  <si>
    <t>Доходы бюджета - ИТОГО - спрятать</t>
  </si>
  <si>
    <t>Налоговые и неналоговые доходы, из них:</t>
  </si>
  <si>
    <t>Налог на прибыль организаций</t>
  </si>
  <si>
    <t>-</t>
  </si>
  <si>
    <t>Налог на доходы физических лиц</t>
  </si>
  <si>
    <t>Акцизы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</si>
  <si>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</si>
  <si>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</si>
  <si>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</si>
  <si>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</si>
  <si>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</si>
  <si>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</si>
  <si>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</si>
  <si>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</si>
  <si>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</si>
  <si>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</si>
  <si>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</si>
  <si>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</si>
  <si>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- из них: невыясненные поступления</t>
  </si>
  <si>
    <t>Поступления (перечисления) по урегулированию расчетов между бюджетами</t>
  </si>
  <si>
    <t>Безвозмездные поступления, в т.ч.:</t>
  </si>
  <si>
    <t>1. От нерезидентов</t>
  </si>
  <si>
    <t>1. От других бюджетов</t>
  </si>
  <si>
    <t>2. Безвозмездные поступления от государственных (муниципальных) организаций</t>
  </si>
  <si>
    <t>3. Безвозмездные поступления от негосударственных  организаций</t>
  </si>
  <si>
    <t>4. Прочие безвозмездные поступления</t>
  </si>
  <si>
    <t>5. 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</si>
  <si>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6. Доходы от возврата целевых остатков прошлых лет</t>
  </si>
  <si>
    <t>7. Возврат целевых остатков прошлых лет</t>
  </si>
  <si>
    <t>ВСЕГО ДОХОДЫ, из них:</t>
  </si>
  <si>
    <t xml:space="preserve"> - налоговые доходы</t>
  </si>
  <si>
    <t xml:space="preserve"> - неналоговые доходы</t>
  </si>
  <si>
    <t>Контроль - спрятать</t>
  </si>
  <si>
    <t>Итого безвозмездные</t>
  </si>
  <si>
    <t>Отклонение</t>
  </si>
  <si>
    <t>Отклонения в доходах получено поселениями от районов и в расходах - отдано в районах межбюджетных</t>
  </si>
  <si>
    <t>посе-ле-ний</t>
  </si>
  <si>
    <t>РАСХОДЫ (по форме 0503317)</t>
  </si>
  <si>
    <r>
      <t xml:space="preserve">Расходы - </t>
    </r>
    <r>
      <rPr>
        <b/>
        <sz val="10"/>
        <color indexed="10"/>
        <rFont val="Arial"/>
        <family val="2"/>
        <charset val="204"/>
      </rPr>
      <t>спрятать</t>
    </r>
  </si>
  <si>
    <t>Общегосударственные вопросы (01)</t>
  </si>
  <si>
    <t>в т.ч. межбюджетные трансферты</t>
  </si>
  <si>
    <t>Национальная оборона (02)</t>
  </si>
  <si>
    <t>Национальная безопасность и правоохранительная деятельность (03)</t>
  </si>
  <si>
    <t>Национальная экономика (04), из них:</t>
  </si>
  <si>
    <t xml:space="preserve"> - общеэкономические вопросы (0401)</t>
  </si>
  <si>
    <t xml:space="preserve"> - топливно-энергетический комплекс (0402)</t>
  </si>
  <si>
    <t xml:space="preserve">   в т.ч межбюджетные трансферты</t>
  </si>
  <si>
    <t xml:space="preserve"> - сельское хозяйство и рыболовство (0405)</t>
  </si>
  <si>
    <t xml:space="preserve"> - водное хозяйство (0406)</t>
  </si>
  <si>
    <t xml:space="preserve"> - лесное хозяйство (0407)</t>
  </si>
  <si>
    <t xml:space="preserve"> - транспорт (0408)</t>
  </si>
  <si>
    <t xml:space="preserve"> - дорожное хозяйство, фонды (0409)</t>
  </si>
  <si>
    <t xml:space="preserve"> - связь и информатика (0410)</t>
  </si>
  <si>
    <t xml:space="preserve"> - другие вопросы в области национальной экономики (0412)</t>
  </si>
  <si>
    <t>Жилищно-коммунальное хозяйство (05), из них:</t>
  </si>
  <si>
    <t xml:space="preserve"> - жилищное хозяйство (0501)</t>
  </si>
  <si>
    <t xml:space="preserve"> - коммунальное хозяйство (0502)</t>
  </si>
  <si>
    <t xml:space="preserve"> - благоустройство (0503)</t>
  </si>
  <si>
    <t xml:space="preserve"> - другие вопросы в области жилищно-коммунального хозяйства (0505)</t>
  </si>
  <si>
    <t>Охрана окружающей среды (06)</t>
  </si>
  <si>
    <t>Культура, кинематография (08)</t>
  </si>
  <si>
    <t>Здравоохранение (09), из них:</t>
  </si>
  <si>
    <t xml:space="preserve"> - стационарная медицинская помощь (0901)</t>
  </si>
  <si>
    <t xml:space="preserve"> - амбулаторная помощь (0902)</t>
  </si>
  <si>
    <t xml:space="preserve"> - другие вопросы в области здравоохранения (0909)</t>
  </si>
  <si>
    <t>Социальная политика (1000), из них:</t>
  </si>
  <si>
    <t xml:space="preserve"> - социальное обслуживание населения (1002)</t>
  </si>
  <si>
    <t xml:space="preserve"> - социальное обеспечение населения (1003)</t>
  </si>
  <si>
    <t xml:space="preserve"> - охрана семьи и детства (1004)</t>
  </si>
  <si>
    <t>Физическая культура и спорт (1100)</t>
  </si>
  <si>
    <t>Средства массовой информации (1200)</t>
  </si>
  <si>
    <t>Обслуживание гос. и муниципального долга (1300)</t>
  </si>
  <si>
    <t>Межбюджетные трансферты общего характера (1400)</t>
  </si>
  <si>
    <t xml:space="preserve"> -  дотации на выравнивание бюджетной обеспеченности</t>
  </si>
  <si>
    <t xml:space="preserve"> - иные дотации</t>
  </si>
  <si>
    <t xml:space="preserve"> - прочие межбюджетные трансферты общего характера</t>
  </si>
  <si>
    <t>ВСЕГО РАСХОДЫ</t>
  </si>
  <si>
    <t>контроль - спрятать</t>
  </si>
  <si>
    <t>контроль межбюджетных - спрятать</t>
  </si>
  <si>
    <t>РЕЗУЛЬТАТ ИСПОЛНЕНИЯ БЮДЖЕТОВ:                   дефицит (-),  профицит (+)</t>
  </si>
  <si>
    <t>х</t>
  </si>
  <si>
    <t>результат по отчету - спрятать</t>
  </si>
  <si>
    <t>Контроль результата - спрятать</t>
  </si>
  <si>
    <t>Источники финансирования дефицита бюджетов (по форме 0503317), в т.ч.:</t>
  </si>
  <si>
    <t>Кредиты кредитных организаций (оборот)</t>
  </si>
  <si>
    <t>Бюджетные кредиты (оборот)</t>
  </si>
  <si>
    <t>Средства от продажи акций и иных форм участия в капитале</t>
  </si>
  <si>
    <t>Исполнение государственных и муниципальных гарантий</t>
  </si>
  <si>
    <t>Возврат бюджетных кредитов</t>
  </si>
  <si>
    <t>Операции по управлению остатками средств на единых счетах бюджетов (оборот)</t>
  </si>
  <si>
    <t>Изменение остатков средств бюджетов (оборот)</t>
  </si>
  <si>
    <t>СПРАВОЧНО:</t>
  </si>
  <si>
    <t>Показатели на 01.01.2017 год (руб.)</t>
  </si>
  <si>
    <t>Показатели на 01.01.2017 года (млн.руб.)</t>
  </si>
  <si>
    <t>Изменение (+/-), млн.руб.</t>
  </si>
  <si>
    <t xml:space="preserve">  целевые (ф. 0503387), в т.ч.:</t>
  </si>
  <si>
    <t xml:space="preserve">         - федерального бюджета</t>
  </si>
  <si>
    <t xml:space="preserve">         - областного бюджета</t>
  </si>
  <si>
    <t>Внутренний долг, в т.ч.:</t>
  </si>
  <si>
    <t xml:space="preserve"> - по бюджетным кредитам</t>
  </si>
  <si>
    <t xml:space="preserve"> - по кредитам кредитных организаций</t>
  </si>
  <si>
    <t xml:space="preserve"> - по выданным гарантиям</t>
  </si>
  <si>
    <t>Утверждено по отчету на 2017 год (руб.)</t>
  </si>
  <si>
    <t>Утверждено по отчету на 2017 год (млн.руб.)</t>
  </si>
  <si>
    <t>Остатки на счетах бюджета (сч. 202.10 ф. 0503320, 0503387), из них:</t>
  </si>
  <si>
    <t>Бюджеты</t>
  </si>
  <si>
    <t>ДОХОДЫ, всего с внутренними оборотами</t>
  </si>
  <si>
    <t>Межбюджетные трансферты в расходах - внутренние обороты (ВР 500 по разделам и подразделам)</t>
  </si>
  <si>
    <t>РАСХОДЫ, всего с внутренними оборотами</t>
  </si>
  <si>
    <t>Итого ДОХОДЫ</t>
  </si>
  <si>
    <t>Итого ДОХОДЫ - сайт Правительства АО, по месячной форме</t>
  </si>
  <si>
    <t>Итого РАСХОДЫ</t>
  </si>
  <si>
    <t>Безвозмездые поступления от других бюджетов, всего с внутренними оборотами</t>
  </si>
  <si>
    <t>Безвозмездные из областного бюджета</t>
  </si>
  <si>
    <t>Налоговые и неналоговые доходы</t>
  </si>
  <si>
    <t>Доходы от продажи материальных и нематериальных активов</t>
  </si>
  <si>
    <t>в т.ч.</t>
  </si>
  <si>
    <t>Остатки средств на 01.01.2017 (баланс)</t>
  </si>
  <si>
    <t>Результат исполнения бюджета</t>
  </si>
  <si>
    <t>Безвозмездные поступления ВСЕГО, с внутренними оборотами</t>
  </si>
  <si>
    <t>Безвозмеждные поступления ВСЕГО, без вн. оборотов</t>
  </si>
  <si>
    <t>НДФЛ</t>
  </si>
  <si>
    <t>Назначено</t>
  </si>
  <si>
    <t>Исполнено</t>
  </si>
  <si>
    <t>%</t>
  </si>
  <si>
    <t>целевые (ф. 387)</t>
  </si>
  <si>
    <t>целевые</t>
  </si>
  <si>
    <t>целевых</t>
  </si>
  <si>
    <t>город</t>
  </si>
  <si>
    <t>район</t>
  </si>
  <si>
    <t>посел. гор.</t>
  </si>
  <si>
    <t>посел. сель</t>
  </si>
  <si>
    <t>ВСЕГО в тыс.руб.</t>
  </si>
  <si>
    <t>Неправильно отражено</t>
  </si>
  <si>
    <t>итого</t>
  </si>
  <si>
    <t>всего руб.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</si>
  <si>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</si>
  <si>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</si>
  <si>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</si>
  <si>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</si>
  <si>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</si>
  <si>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</si>
  <si>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</si>
  <si>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</si>
  <si>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</si>
  <si>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</si>
  <si>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</si>
  <si>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</si>
  <si>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</si>
  <si>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</si>
  <si>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</si>
  <si>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</si>
  <si>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</si>
  <si>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</si>
  <si>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</si>
  <si>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</si>
  <si>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</si>
  <si>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</si>
  <si>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</si>
  <si>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</si>
  <si>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</si>
  <si>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</si>
  <si>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</si>
  <si>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Внутренний долг на 01.01.2017</t>
  </si>
  <si>
    <t>тыс.руб.</t>
  </si>
  <si>
    <t>Консолидированные бюджеты</t>
  </si>
  <si>
    <t>Доходы</t>
  </si>
  <si>
    <t>Расходы</t>
  </si>
  <si>
    <t>Результат исполнения (дефицит "-", профицит "+")</t>
  </si>
  <si>
    <t>назначено на год</t>
  </si>
  <si>
    <t>исполнено</t>
  </si>
  <si>
    <t>Всего</t>
  </si>
  <si>
    <t>в т.ч. целевых</t>
  </si>
  <si>
    <t>3=2/1</t>
  </si>
  <si>
    <t>4</t>
  </si>
  <si>
    <t>5=4/3</t>
  </si>
  <si>
    <t>6</t>
  </si>
  <si>
    <t>10</t>
  </si>
  <si>
    <t>11</t>
  </si>
  <si>
    <t>12</t>
  </si>
  <si>
    <t>из них:</t>
  </si>
  <si>
    <t>налог на доходы физических лиц</t>
  </si>
  <si>
    <t>налоги на совокупный доход</t>
  </si>
  <si>
    <t>налоги на имущество</t>
  </si>
  <si>
    <t>5</t>
  </si>
  <si>
    <t>13</t>
  </si>
  <si>
    <t>14</t>
  </si>
  <si>
    <t>15</t>
  </si>
  <si>
    <t>16</t>
  </si>
  <si>
    <t>17</t>
  </si>
  <si>
    <t>18</t>
  </si>
  <si>
    <t>доходы от продажи активов</t>
  </si>
  <si>
    <t>Сайт Пр-ва АО</t>
  </si>
  <si>
    <t>субсидии</t>
  </si>
  <si>
    <t>субвенции</t>
  </si>
  <si>
    <t>дотации</t>
  </si>
  <si>
    <t>иные межбюд-жетные</t>
  </si>
  <si>
    <t>ИТОГО</t>
  </si>
  <si>
    <t>табл. Конс. Расчсетов</t>
  </si>
  <si>
    <t>отклоние</t>
  </si>
  <si>
    <t>Просроченная кредиторская задолженность (ф. 0503369)</t>
  </si>
  <si>
    <t>изменение за 6 мес. (+,-)</t>
  </si>
  <si>
    <t>Внутренний долг</t>
  </si>
  <si>
    <t>Приложение № 1.1</t>
  </si>
  <si>
    <t>7=4-1</t>
  </si>
  <si>
    <t>8=5-2</t>
  </si>
  <si>
    <t>9=6-3</t>
  </si>
  <si>
    <t>10=4/1*100-100</t>
  </si>
  <si>
    <t>11=5/2*100-100</t>
  </si>
  <si>
    <t>12=6/3*100-100</t>
  </si>
  <si>
    <t>Налоги на имущество, из них:</t>
  </si>
  <si>
    <t xml:space="preserve">  - налог на имущество физических лиц</t>
  </si>
  <si>
    <t xml:space="preserve">  - налог на имущество организаций</t>
  </si>
  <si>
    <t xml:space="preserve">  - транспортный налог</t>
  </si>
  <si>
    <t xml:space="preserve">  - земельный налог</t>
  </si>
  <si>
    <t>Налоги, сборы и регулярные платежи за пользование природными ресурсами, из них:</t>
  </si>
  <si>
    <t xml:space="preserve">  - налог на добычу полезных ископаемых в виде природных алмазов</t>
  </si>
  <si>
    <t>Платежи при пользовании природными ресурсами, из них:</t>
  </si>
  <si>
    <t xml:space="preserve">  - плата за негативное воздействие на окружающую среду</t>
  </si>
  <si>
    <t xml:space="preserve">  - платежи при пользовании недрами</t>
  </si>
  <si>
    <t xml:space="preserve">  - плата за использование лесов</t>
  </si>
  <si>
    <t xml:space="preserve">  - доходы от оказания платных услуг (работ)</t>
  </si>
  <si>
    <t xml:space="preserve">  -доходы от компенсации затрат государства</t>
  </si>
  <si>
    <t>01 00. Общегосударственные вопросы</t>
  </si>
  <si>
    <t>01 02. Функционирование высшего должностного лица субъекта РФ и муниципального образования</t>
  </si>
  <si>
    <t>01 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</si>
  <si>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04. Функционирование Правительства РФ, высших исполнительных органов государственной власти субъектов РФ, местных администраций</t>
  </si>
  <si>
    <t>01 05. Судебная система</t>
  </si>
  <si>
    <t>01 06. Обеспечение деятельности финансовых, налоговых и таможенных органов и органов финансового (финансово-бюджетного) надзора</t>
  </si>
  <si>
    <t>01 07. Обеспечение проведения выборов и референдумов</t>
  </si>
  <si>
    <t>01 11. Резервные фонды</t>
  </si>
  <si>
    <t>01 12. Прикладные научные исследования в области общегосударственных вопросов</t>
  </si>
  <si>
    <t>01 13. Другие общегосударственные вопросы</t>
  </si>
  <si>
    <t>02 00. Национальная оборона</t>
  </si>
  <si>
    <t>02 03. Мобилизационная и вневойсковая подготовка</t>
  </si>
  <si>
    <t>03 00. Национальная безопасность и правоохранительная деятельность</t>
  </si>
  <si>
    <t>03 02. Органы внутренних дел</t>
  </si>
  <si>
    <t>03 09. Защита населения и территории от чрезвычайных ситуаций природного и техногенного характера, гражданская оборона</t>
  </si>
  <si>
    <t>03 10. Обеспечение пожарной безопасности</t>
  </si>
  <si>
    <t>03 14. Другие вопросы в области национальной безопасности и правоохранительной деятельности</t>
  </si>
  <si>
    <t>04 00. Национальная экономика</t>
  </si>
  <si>
    <t>04 01. Общеэкономические вопросы</t>
  </si>
  <si>
    <t>04 02. Топливно-энергетический комплекс</t>
  </si>
  <si>
    <t>04 05. Сельское хозяйство и рыболовство</t>
  </si>
  <si>
    <t>04 06. Водное хозяйство</t>
  </si>
  <si>
    <t>04 07. Лесное хозяйство</t>
  </si>
  <si>
    <t>04 08. Транспорт</t>
  </si>
  <si>
    <t>04 09. Дорожное хозяйство (дорожные фонды)</t>
  </si>
  <si>
    <t>04 10. Связь и информатика</t>
  </si>
  <si>
    <t>04 12. Другие вопросы в области национальной экономики</t>
  </si>
  <si>
    <t>05 00. Жилищно-коммунальное хозяйство</t>
  </si>
  <si>
    <t>05 01. Жилищное хозяйство</t>
  </si>
  <si>
    <t>05 03. Благоустройство</t>
  </si>
  <si>
    <t>05 05. Другие вопросы в области жилищно-коммунального хозяйства</t>
  </si>
  <si>
    <t>06 00. Охрана окружающей среды</t>
  </si>
  <si>
    <t>06 02. Сбор, удаление отходов и очистка сточных вод</t>
  </si>
  <si>
    <t>06 03. Охрана объектов растительного и животного мира и среды их обитания</t>
  </si>
  <si>
    <t>06 05. Другие вопросы в области охраны окружающей среды</t>
  </si>
  <si>
    <t>07 00. Образование</t>
  </si>
  <si>
    <t>07 01. Дошкольное образование</t>
  </si>
  <si>
    <t>07 02. Общее образование</t>
  </si>
  <si>
    <t>07 04. Среднее профессиональное образование</t>
  </si>
  <si>
    <t>07 05. Профессиональная подготовка, переподготовка и повышение квалификации</t>
  </si>
  <si>
    <t>07 08. Прикладные научные исследования в области образования</t>
  </si>
  <si>
    <t>07 09. Другие вопросы в области образования</t>
  </si>
  <si>
    <t>08 00. Культура, кинематография</t>
  </si>
  <si>
    <t>08 01. Культура</t>
  </si>
  <si>
    <t>08 04. Другие вопросы в области культуры, кинематографии</t>
  </si>
  <si>
    <t>09 00. Здравоохранение</t>
  </si>
  <si>
    <t>09 01. Стационарная медицинская помощь</t>
  </si>
  <si>
    <t>09 02. Амбулаторная помощь</t>
  </si>
  <si>
    <t>09 04. Скорая медицинская помощь</t>
  </si>
  <si>
    <t>09 05. Санаторно-оздоровительная помощь</t>
  </si>
  <si>
    <t>09 06. Заготовка, переработка, хранение и обеспечение безопасности донорской крови и её компонентов</t>
  </si>
  <si>
    <t>09 07. Санитарно-эпидемиологическое благополучие</t>
  </si>
  <si>
    <t>09 09. Другие вопросы в области здравоохранения</t>
  </si>
  <si>
    <t>10 00. Социальная политика</t>
  </si>
  <si>
    <t>10 01. Пенсионное обеспечение</t>
  </si>
  <si>
    <t>10 02. Социальное обслуживание населения</t>
  </si>
  <si>
    <t>10 04. Охрана семьи и детства</t>
  </si>
  <si>
    <t>10 06. Другие вопросы в области социальной политики</t>
  </si>
  <si>
    <t>11 00. Физическая культура и спорт</t>
  </si>
  <si>
    <t>11 01. Физическая культура</t>
  </si>
  <si>
    <t>11 02. Массовый спорт</t>
  </si>
  <si>
    <t>11 03. Спорт высших достижений</t>
  </si>
  <si>
    <t>11 05. Другие вопросы в области физической культуры и спорта</t>
  </si>
  <si>
    <t>12 00. Средства массовой информации</t>
  </si>
  <si>
    <t>12 01. Телевидение и радиовещание</t>
  </si>
  <si>
    <t>12 02. Периодическая печать и издательства</t>
  </si>
  <si>
    <t>12 04. Другие вопросы в области средств массовой информации</t>
  </si>
  <si>
    <t>13 00. Обслуживание государственного и муниципального долга</t>
  </si>
  <si>
    <t>13 01. Обслуживание государственного внутреннего и муниципального долга</t>
  </si>
  <si>
    <t>14 00. Межбюджетные трансферты общего характера бюджетам субъектов РФ и муниципальных образований</t>
  </si>
  <si>
    <t>14 01. Дотации на выравнивание бюджетной обеспеченности субъектов РФ и муниципальных образований</t>
  </si>
  <si>
    <t>14 02. Иные дотации</t>
  </si>
  <si>
    <t>14 03. Прочие межбюджетные трансферты общего характера</t>
  </si>
  <si>
    <t xml:space="preserve"> - межбюджетные</t>
  </si>
  <si>
    <t>Операции по управлению остатками средств на единых счетах бюджетов</t>
  </si>
  <si>
    <t>09 03. Медицинская помощь в дневных стационарах всех типов</t>
  </si>
  <si>
    <t>Наименование</t>
  </si>
  <si>
    <t>ДОХОДЫ</t>
  </si>
  <si>
    <t>РАСХОДЫ</t>
  </si>
  <si>
    <t>бюд-жетные</t>
  </si>
  <si>
    <t>Областные учреждения</t>
  </si>
  <si>
    <t>Всего по области</t>
  </si>
  <si>
    <t>бюджетные</t>
  </si>
  <si>
    <t>Остатки средств, с учетом в пути</t>
  </si>
  <si>
    <t>Минстрой АО</t>
  </si>
  <si>
    <t>Министерство ТЭК и ЖКХ АО</t>
  </si>
  <si>
    <t>Минлеспром АО</t>
  </si>
  <si>
    <t>Минздрав АО</t>
  </si>
  <si>
    <t>Инспекция по памятникам АО</t>
  </si>
  <si>
    <t>Минкультуры АО</t>
  </si>
  <si>
    <t>Минсвязи АО</t>
  </si>
  <si>
    <t>Минобрнауки АО</t>
  </si>
  <si>
    <t>Минагропромторг АО</t>
  </si>
  <si>
    <t>Минтранс АО</t>
  </si>
  <si>
    <t>Минэкономразвития АО</t>
  </si>
  <si>
    <t>Минтрудсоцразвития АО</t>
  </si>
  <si>
    <t>Минимущество АО</t>
  </si>
  <si>
    <t>Агентство ГПС и ГЗ АО</t>
  </si>
  <si>
    <t>Администрация ГАО и ПАО</t>
  </si>
  <si>
    <t>Агентство по печати и СМИ АО</t>
  </si>
  <si>
    <t>Контрактное агентство АО</t>
  </si>
  <si>
    <t>Инспекция по ветнадзору АО</t>
  </si>
  <si>
    <t>Итого</t>
  </si>
  <si>
    <t>Дебиторская задолженность</t>
  </si>
  <si>
    <t>Кредиторская задолженность</t>
  </si>
  <si>
    <t>ВСЕГО</t>
  </si>
  <si>
    <t>из нее:</t>
  </si>
  <si>
    <t>Бюд-жетные</t>
  </si>
  <si>
    <t>просро-ченная</t>
  </si>
  <si>
    <t>на 01.01.2017</t>
  </si>
  <si>
    <t>всего</t>
  </si>
  <si>
    <t>в т.ч. просроч.</t>
  </si>
  <si>
    <t>Кредиторская задолженность, ф. 369, в тыс.руб., исключен счет 302.51 поселений</t>
  </si>
  <si>
    <t>Всего, (+,-) в %</t>
  </si>
  <si>
    <t>Уд. вес. просро-ченной, в %</t>
  </si>
  <si>
    <t>3=2/1%</t>
  </si>
  <si>
    <t>6=5/4%</t>
  </si>
  <si>
    <t>7=4/1%-100</t>
  </si>
  <si>
    <t>8=5/2%-100</t>
  </si>
  <si>
    <t>просро-ченной, (+,-) в %</t>
  </si>
  <si>
    <t>Уд. веса просро-ченной, (+,-) % пунктов</t>
  </si>
  <si>
    <t>07 03. Дополнительное образование детей</t>
  </si>
  <si>
    <t>07 07. Молодежная политика</t>
  </si>
  <si>
    <t>10 03. Социальное обеспечение населения</t>
  </si>
  <si>
    <t>Исполнено за 9 мес. 2017 года (руб.)</t>
  </si>
  <si>
    <t>Исполнено за 9 мес. 2017 года (млн.руб.)</t>
  </si>
  <si>
    <t>Сведения об исполнении консолидированного бюджета Архангельской области за 9 месяцев 2017 года, согласно отчету, представленному в Минфин России по ф. 0503317</t>
  </si>
  <si>
    <t>Показатели на 01.10.2017 года (млн.руб.)</t>
  </si>
  <si>
    <t>Показатели на 01.10.2017 год (руб.)</t>
  </si>
  <si>
    <t>Остатки средств на 01.10.2017 (0503387)</t>
  </si>
  <si>
    <t>Изменение остатков за 9 месяцев 2017</t>
  </si>
  <si>
    <t>Внутренний долг на 01.10.2017</t>
  </si>
  <si>
    <t>Изменение внутреннего долга за 9 мес. 2017</t>
  </si>
  <si>
    <t>на 01.10.2017</t>
  </si>
  <si>
    <t>Состояние кредиторской задолженности бюджетов муниципальных образований, с учетом казенных учреждений (без бюджетных и автономных учреждений), согласно отчетам по ф. 0503369 за 9 месяцев 2017 года</t>
  </si>
  <si>
    <t>на 01.10.17</t>
  </si>
  <si>
    <t>Всего за 9 мес. 2016 года</t>
  </si>
  <si>
    <t>Остатки средств на 01.10.2017</t>
  </si>
  <si>
    <t>Изменение остатков за 9 мес. 2017 г.</t>
  </si>
  <si>
    <t>Исполнено за 9 мес. 2016 года, млн.руб.</t>
  </si>
  <si>
    <t>Исполнено за 9 мес. 2017 год, млн.руб.</t>
  </si>
  <si>
    <t>Изменения за 9 мес.</t>
  </si>
  <si>
    <t>Изменения 9 мес.</t>
  </si>
  <si>
    <t xml:space="preserve"> - дошкольное образование (0701)</t>
  </si>
  <si>
    <t xml:space="preserve"> - общее образование (0702)</t>
  </si>
  <si>
    <t xml:space="preserve"> - дополнительное образование детей (0703)</t>
  </si>
  <si>
    <t xml:space="preserve"> - среднее профессиональное образование (0704)</t>
  </si>
  <si>
    <t xml:space="preserve"> - профессиональная подготовка, переподготовка и повышение квалификации (0705)</t>
  </si>
  <si>
    <t xml:space="preserve"> - молодежная политика (0707)</t>
  </si>
  <si>
    <t xml:space="preserve"> - прикладные научные исследования в области образования (0708)</t>
  </si>
  <si>
    <t xml:space="preserve"> - другие вопросы в области образования (0709)</t>
  </si>
  <si>
    <t xml:space="preserve"> - скорая медицинская помощь (0904)</t>
  </si>
  <si>
    <t>Образование (07), из них:</t>
  </si>
  <si>
    <t>Исполнено за 9 мес. 2016 года</t>
  </si>
  <si>
    <t>иные</t>
  </si>
  <si>
    <t>субси-дии</t>
  </si>
  <si>
    <t>дота-ции</t>
  </si>
  <si>
    <t>уд. вес.</t>
  </si>
  <si>
    <t>Исполнено за 9 мес. 2017 года</t>
  </si>
  <si>
    <t>вельский</t>
  </si>
  <si>
    <t>317 - доходы, без вн. оборотов</t>
  </si>
  <si>
    <t>Всего за 9 мес. 2017 года (910)</t>
  </si>
  <si>
    <t>субсидии (911)</t>
  </si>
  <si>
    <t>субвенции (912)</t>
  </si>
  <si>
    <t>дотации (913)</t>
  </si>
  <si>
    <t>иные межбюд-жетные (914)</t>
  </si>
  <si>
    <t>Межбюджетные трансферты из областного бюджета в бюджеты городских огругов и муниципальных районов за 9 месяцев 2016 года и за 9 мес. 2017 года, согласно отчету по ф. 0503317 "Таблица консолидируемых расчетов", представленному в Минфин России (код. 910, 911, 912, 913, 914)</t>
  </si>
  <si>
    <t>суб-вен-ции</t>
  </si>
  <si>
    <t>в 4,6 раза</t>
  </si>
  <si>
    <t>в 8,4 раза</t>
  </si>
  <si>
    <t>в 8,8 раза</t>
  </si>
  <si>
    <t>в 2,5 раза</t>
  </si>
  <si>
    <t>в 2,7 раза</t>
  </si>
  <si>
    <t>в 12,9 раза</t>
  </si>
  <si>
    <t>в 6,9 раза</t>
  </si>
  <si>
    <t>Изменение за 9 мес.</t>
  </si>
  <si>
    <t>Рост, снижение в % к аналогичному периоду прошлого года</t>
  </si>
  <si>
    <t>ф. 317 доходы</t>
  </si>
  <si>
    <t>Вельский и Устьянский</t>
  </si>
  <si>
    <t>Изменения за 9 мес. (+,-)</t>
  </si>
  <si>
    <t xml:space="preserve">  - единый сельскохозяйственный налог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</si>
  <si>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</si>
  <si>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</si>
  <si>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 - налог, взимаемый в связи с применением патентной системы налогообложения</t>
  </si>
  <si>
    <t>Единый сельскохозяйственный налог</t>
  </si>
  <si>
    <t>На 01.10.2016</t>
  </si>
  <si>
    <t xml:space="preserve"> +,- к прошлому периоду</t>
  </si>
  <si>
    <t>Исполнено на 01.10.17</t>
  </si>
  <si>
    <t>Назначено на 2017</t>
  </si>
  <si>
    <t>Исполнено на 01.10.2016</t>
  </si>
  <si>
    <t>(+,-) к 9 мес. 2016</t>
  </si>
  <si>
    <t>Налоги на совокупный доход, из них:</t>
  </si>
  <si>
    <t>Доходы от оказания платных услуг (работ) и компенсации затрат государства, из них:</t>
  </si>
  <si>
    <t>На 01.10.2017</t>
  </si>
  <si>
    <t>(+,-) в % к 9 мес. 2016</t>
  </si>
  <si>
    <t>Изменения за 9 месяцев</t>
  </si>
  <si>
    <t>317 - доходы, от др. бюджетов, без вн. оборотов</t>
  </si>
  <si>
    <t>% выполнения к годовому плану</t>
  </si>
  <si>
    <t>было на 01.07.2017</t>
  </si>
  <si>
    <t>обл.</t>
  </si>
  <si>
    <t xml:space="preserve"> МО</t>
  </si>
  <si>
    <t>Изменения за 3 квартал</t>
  </si>
  <si>
    <t>млн.рублей</t>
  </si>
  <si>
    <t>Процент исполнения</t>
  </si>
  <si>
    <t>Сводная бюджетная роспись на 2017 год по состоянию на 30.09.2017</t>
  </si>
  <si>
    <t>План кассовых выплат                        на 9 месяцев                           2017 года</t>
  </si>
  <si>
    <t>Исполнено на 01.10.2017</t>
  </si>
  <si>
    <t>Государственная программа Архангельской области "Развитие здравоохранения Архангельской области (2013 – 2020 годы)"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</si>
  <si>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</si>
  <si>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2020 годы)"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</si>
  <si>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</si>
  <si>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</si>
  <si>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</si>
  <si>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</si>
  <si>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</si>
  <si>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</si>
  <si>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</si>
  <si>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энергетики и жилищно-коммунального хозяйства Архангельской области (2014 – 2020 годы)"</t>
  </si>
  <si>
    <t>Государственная программа Архангельской области "Развитие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</si>
  <si>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</si>
  <si>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Государственная программа Архангельской области "Развитие инфраструктуры Соловецкого архипелага (2014 – 2019 годы)"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</si>
  <si>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</si>
  <si>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Программа модернизации здравоохранения Архангельской области на 2011 – 2016 годы</t>
  </si>
  <si>
    <t>Социальная программа Архангельской области на предоставление из бюджета Пенсионного фонда Российской Федерации субсидии на укрепление материально-технической базы учреждений социального обслуживания населения Архангельской области и обучение компьютерной грамотности неработающих пенсионеров</t>
  </si>
  <si>
    <t>IV. НЕПРОГРАММНЫЕ НАПРАВЛЕНИЯ ДЕЯТЕЛЬНОСТИ</t>
  </si>
  <si>
    <t>Обеспечение функционирования Губернатора Архангельской области, его заместителей, заместителей председателя Правительства Архангельской области</t>
  </si>
  <si>
    <t>Обеспечение деятельности Архангельского областного Собрания депутатов</t>
  </si>
  <si>
    <t>Обеспечение деятельности избирательной комиссии Архангельской области и проведение выборов</t>
  </si>
  <si>
    <t>Обеспечение деятельности контрольно-счетной палаты Архангельской области</t>
  </si>
  <si>
    <t>Обеспечение деятельности уполномоченного по правам человека в Архангельской области</t>
  </si>
  <si>
    <t>Обеспечение деятельности депутатов Государственной Думы и их помощников в избирательных округах, членов Совета Федерации и их помощников в Архангельской области</t>
  </si>
  <si>
    <t>Резервный фонд Правительства Архангельской области</t>
  </si>
  <si>
    <t>Непрограммные расходы в области дорожного хозяйства</t>
  </si>
  <si>
    <t>Кредиты кредитных организаций (сальдированный результат)</t>
  </si>
  <si>
    <t>Бюджетные кредиты (сальдированный результат)</t>
  </si>
  <si>
    <t>Областной бюджет</t>
  </si>
  <si>
    <t>Исполнение областного бюджета за 1 полугодие 2017 года в разрезе программ</t>
  </si>
  <si>
    <t>к сводной бюджетной росписи на год</t>
  </si>
  <si>
    <t>к плану кассовых выплат на 9 месяцев</t>
  </si>
  <si>
    <t>ГОСУДАРСТВЕННЫЕ ПРОГРАММЫ АРХАНГЕЛЬСКОЙ ОБЛАСТИ</t>
  </si>
  <si>
    <t>в том числе:</t>
  </si>
  <si>
    <t>Государственная программа Архангельской области "Развитие образования и науки Архангельской области (2013 – 2020 годы)"</t>
  </si>
  <si>
    <t>Государственная программа Архангельской области "Социальная поддержка граждан в Архангельской области (2013 – 2020 годы)"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</si>
  <si>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2020 годы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</si>
  <si>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годы)"</t>
  </si>
  <si>
    <t>Государственная программа Архангельской области "Развитие имущественно-земельных отношений Архангельской области (2014 – 2018 годы)"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</si>
  <si>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2020 годы)"</t>
  </si>
  <si>
    <t>Государственная программа Архангельской области "Эффективное государственное управление в Архангельской области (2014 – 2020 годы)"</t>
  </si>
  <si>
    <t>Государственная программа Архангельской области "Устойчивое развитие сельских территорий Архангельской области (2014 – 2020 годы)"</t>
  </si>
  <si>
    <t>АДРЕСНЫЕ ПРОГРАММЫ АРХАНГЕЛЬСКОЙ ОБЛАСТИ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</si>
  <si>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с учетом необходимости развития малоэтажного жилищного строительства</t>
  </si>
  <si>
    <t>ИНЫЕ ПРОГРАММЫ АРХАНГЕЛЬСКОЙ ОБЛАСТИ</t>
  </si>
  <si>
    <t>Региональная программа капитального ремонта общего имущества в многоквартирных домах, расположенных на территории Архангельской области</t>
  </si>
  <si>
    <t>Губернатор Архангельской области</t>
  </si>
  <si>
    <t>Расходы на содержание государственных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</si>
  <si>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</si>
  <si>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</si>
  <si>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Заместители Губернатора Архангельской области, заместители председателя Правительства Архангельской области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</si>
  <si>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</si>
  <si>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</si>
  <si>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</si>
  <si>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</si>
  <si>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</si>
  <si>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</si>
  <si>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Исполнение судебных актов</t>
  </si>
  <si>
    <t>Уплата налогов, сборов и иных платежей</t>
  </si>
  <si>
    <t>Возмещение расходов депутатов Архангельского областного Собрания депутатов в избирательных округах</t>
  </si>
  <si>
    <t>Межбюджетные трансферты</t>
  </si>
  <si>
    <t>Иные межбюджетные трансферты</t>
  </si>
  <si>
    <t>Члены избирательной комиссии Архангельской области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</si>
  <si>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</si>
  <si>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в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</si>
  <si>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</si>
  <si>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</si>
  <si>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Избирательная комиссия Архангельской области</t>
  </si>
  <si>
    <t>Депутаты Государственной Думы и их помощники в округах</t>
  </si>
  <si>
    <t>Обеспечение деятельности депутатов Государственной Думы и их помощников в избирательных округах</t>
  </si>
  <si>
    <t>Члены Совета Федерации и их помощники в субъектах Российской Федерации</t>
  </si>
  <si>
    <t>Обеспечение членов Совета Федерации и их помощников в субъектах Российской Федерации</t>
  </si>
  <si>
    <t>Расходы на выплаты персоналу казенных учреждений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</si>
  <si>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</si>
  <si>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</si>
  <si>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</si>
  <si>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</si>
  <si>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</si>
  <si>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</si>
  <si>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</si>
  <si>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Резервные средства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</si>
  <si>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</si>
  <si>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</si>
  <si>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Субсидии</t>
  </si>
  <si>
    <t>Непрограммные расходы на осуществление поддержки лиц, вынужденно покинувших территорию Украины и находящихся на территории Архангельской области</t>
  </si>
  <si>
    <t>Непрограммные расходы по обеспечению временного социально-бытового устройства лиц, вынужденно покинувших территорию Украины и находящихся в пунктах временного размещения на территории Архангельской области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</si>
  <si>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</si>
  <si>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Непрограммные расходы на компенсацию расходов, связанных с оказанием в 2014 – 2015 годах медицинскими организациями, подведомственными исполнительным органам государственной власти Архангельской области,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</t>
  </si>
  <si>
    <t>Компенсация расходов, связанных с оказанием в 2014 – 2015 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</si>
  <si>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Резервные средства для финансового обеспечения повышения оплаты труда работников государственных и муниципальных учреждений Архангельской области, органов государственной власти и местного самоуправления Архангельской области с 1 октября 2016 года на 5,5 процента</t>
  </si>
  <si>
    <t>Номер мероприятия</t>
  </si>
  <si>
    <t>Наименование программы, подпрограммы, мероприятия</t>
  </si>
  <si>
    <t>Ответственный исполнитель, соисполнители</t>
  </si>
  <si>
    <t>Объемы финансирования государственной программы, тыс. руб.</t>
  </si>
  <si>
    <t>Оценка соблюдения сроков выполнения основных этапов мероприятия и (или) достижения показателей реализации мероприятия</t>
  </si>
  <si>
    <t>Причины невыполнения мероприятия</t>
  </si>
  <si>
    <t>федеральный бюджет</t>
  </si>
  <si>
    <t>областной бюджет</t>
  </si>
  <si>
    <t>бюджеты муниципальных образований Архангельской области</t>
  </si>
  <si>
    <t>внебюджетные источники</t>
  </si>
  <si>
    <t>освоено</t>
  </si>
  <si>
    <t>план на год</t>
  </si>
  <si>
    <t>кассовые расходы</t>
  </si>
  <si>
    <t>Основные этапы выполнения мероприятия и (или) показатели реализации мероприятия, ед. изм.</t>
  </si>
  <si>
    <t>план на 1 квартал</t>
  </si>
  <si>
    <t>факт за 1 квартал</t>
  </si>
  <si>
    <t xml:space="preserve">план на 1 полугодие </t>
  </si>
  <si>
    <t>факт за 1 полугодие</t>
  </si>
  <si>
    <t>план на 9 месяцев</t>
  </si>
  <si>
    <t>факт за 9 месяцев</t>
  </si>
  <si>
    <t>план на 12 месяцев</t>
  </si>
  <si>
    <t>факт за 12 месяцев</t>
  </si>
  <si>
    <t>ГП АО "Развитие здравоохранения Архангельской области (2013 – 2020 годы)"</t>
  </si>
  <si>
    <t>Подпрограмма № 2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</si>
  <si>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6.1.</t>
  </si>
  <si>
    <t>Закупка авиационной услуги для оказания медицинской помощи с применением авиации</t>
  </si>
  <si>
    <t>Министерство здравоохранения Архангельской области</t>
  </si>
  <si>
    <t>Объем авиационной услуги для оказания медицинской помощи с применением авиации; количество полетных часов</t>
  </si>
  <si>
    <t>150</t>
  </si>
  <si>
    <t>0</t>
  </si>
  <si>
    <t>110</t>
  </si>
  <si>
    <t>Подпрограмма № 4 «Охрана здоровья матери и ребенка»</t>
  </si>
  <si>
    <t>3.</t>
  </si>
  <si>
    <t>Обеспечение полноценным питанием беременных женщин, кормящих матерей и детей в возрасте до 3 лет</t>
  </si>
  <si>
    <t>Обеспечение полноценным питанием беременных женщин, кормящих матерей и детей в возрасте до 3 лет; количество получателей</t>
  </si>
  <si>
    <t>19000</t>
  </si>
  <si>
    <t>19329</t>
  </si>
  <si>
    <t>15351</t>
  </si>
  <si>
    <t>15072</t>
  </si>
  <si>
    <t xml:space="preserve">Снижение числа женщин фертильного возраста, беременных женщин и родившихся детей (за 8 месяцев 2017 года родилось на 1188 детей меньше, чем за аналогичный период 2016 года). </t>
  </si>
  <si>
    <t>Подпрограмма № 10 «Совершенствование системы территориального планирования Архангельской области»</t>
  </si>
  <si>
    <t>7.1.</t>
  </si>
  <si>
    <t>Обеспечение деятельности министерства здравоохранения как ответственного исполнителя государственной программы</t>
  </si>
  <si>
    <t>Исполнение бюджета к утвержденному плану года; процентов</t>
  </si>
  <si>
    <t>25</t>
  </si>
  <si>
    <t>21</t>
  </si>
  <si>
    <t>50</t>
  </si>
  <si>
    <t>43</t>
  </si>
  <si>
    <t>75</t>
  </si>
  <si>
    <t>67</t>
  </si>
  <si>
    <t xml:space="preserve"> </t>
  </si>
  <si>
    <t>ГП АО "Развитие образования и науки Архангельской области (2013 – 2018 годы)"</t>
  </si>
  <si>
    <t xml:space="preserve">Подпрограмма № 2 «Содержание,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
с ограниченными возможностями здоровья»
</t>
  </si>
  <si>
    <t>3.3</t>
  </si>
  <si>
    <t>Психолого-педагогическое и медико-социальное сопровождение детей, оказавшихся в трудной жизненной ситуации</t>
  </si>
  <si>
    <t>министерство образования и науки Архангельской области</t>
  </si>
  <si>
    <t>Количество детей, находящихся в трудной жизненной ситуации, которым оказаны услуги по психолого-педагогическому и медико-социальному сопровождению; Человек</t>
  </si>
  <si>
    <t>30</t>
  </si>
  <si>
    <t>20</t>
  </si>
  <si>
    <t xml:space="preserve">Длительная подготовка к аукционным процедурам (аукцион был объявлен в мае 2017 года). Договор с исполнителем (федеральное государственное автономное образовательное учреждение высшего образования «Северный (Арктический) федеральный университет имени М.В. Ломоносова»)) заключен 15.06.2017. </t>
  </si>
  <si>
    <t>4.4</t>
  </si>
  <si>
    <t>Предоставление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мер социальной поддержки по оплате жилого помещения и коммунальных услуг, а также по освобождению от задолженности по оплате жилого помещения и коммунальных услуг, дополнительной меры социальной поддержки детям-сиротам и детям, оставшимся без попечения родителей, в виде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</si>
  <si>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Количество обеспеченных жилыми помещениями детей-сирот и детей, оставшихся без попечения родителей, лиц из числа детей-сирот и детей, оставшихся без попечения родителей; Человек</t>
  </si>
  <si>
    <t>120</t>
  </si>
  <si>
    <t>113</t>
  </si>
  <si>
    <t xml:space="preserve"> В настоящее время осуществляется процедура государственной регистрации права на жилое помещение и перевода приобретенных жилых помещений в специализированный муниципальный жилищный фонд. 
</t>
  </si>
  <si>
    <t xml:space="preserve">Подпрограмма № 4 «Совершенствование системы предоставления услуг в сфере образования»
</t>
  </si>
  <si>
    <t>Обеспечение деятельности министерства образования и науки Архангельской области как ответственного исполнителя государственной программы</t>
  </si>
  <si>
    <t>Исполнение бюджета к утвержденному плану года; Процент</t>
  </si>
  <si>
    <t>17,4</t>
  </si>
  <si>
    <t>43,9</t>
  </si>
  <si>
    <t>68,2</t>
  </si>
  <si>
    <t>Экономия при проведении конкурсных процедур</t>
  </si>
  <si>
    <t>2.12</t>
  </si>
  <si>
    <t>Строительство начальной общеобразовательной школы на 320 учащихся в с. Красноборск Архангельской области</t>
  </si>
  <si>
    <t>министерство строительства и архитектуры Архангельской области</t>
  </si>
  <si>
    <t>Благоустройство территории; Срок завершения</t>
  </si>
  <si>
    <t>30 сентября</t>
  </si>
  <si>
    <t>Х</t>
  </si>
  <si>
    <t>Низкие темпы работ подрядной организации (нарушение сроков).</t>
  </si>
  <si>
    <t>ГП АО "Социальная поддержка граждан в Архангельской области (2013 – 2018 годы)"</t>
  </si>
  <si>
    <t>Подпрограмма № 1 «Организация работы по социальному обслуживанию граждан и социальной защите населения Архангельской области»</t>
  </si>
  <si>
    <t>3.2.</t>
  </si>
  <si>
    <t>Перевозка несовершеннолетних, самовольно ушедших из семей, организаций для детей-сирот и детей, оставшихся без попечения родителей, специальных учебно-воспитательных учреждений открытого типа или иных организаций, осуществляющих образовательную деятельность</t>
  </si>
  <si>
    <t>министерство труда, занятости и социального развития Архангельской области</t>
  </si>
  <si>
    <t>Количество несовершеннолетних, перевезенных к месту проживания, возвращенных в семьи, организации для детей-сирот и детей, оставшихся без попечения родителей, специальные учебно-воспитательные учреждения открытого типа или иные организации, осуществляющие образовательную деятельность; человек</t>
  </si>
  <si>
    <t>Отсутствие потребности.</t>
  </si>
  <si>
    <t xml:space="preserve">Подпрограмма № 2 «Меры социальной поддержки 
отдельным категориям граждан, проживающим 
на территории Архангельской области»
</t>
  </si>
  <si>
    <t>1.6.</t>
  </si>
  <si>
    <t>Социальное пособие на погребение (Федеральный закон от 12 января 1996 года № 8-ФЗ «О погребении и похоронном деле»)</t>
  </si>
  <si>
    <t>количество получателей мер социальной поддержки (на конец отчетного периода); человек</t>
  </si>
  <si>
    <t>400</t>
  </si>
  <si>
    <t>326</t>
  </si>
  <si>
    <t>800</t>
  </si>
  <si>
    <t>651</t>
  </si>
  <si>
    <t>1200</t>
  </si>
  <si>
    <t>1025</t>
  </si>
  <si>
    <t>1.16.</t>
  </si>
  <si>
    <t>Обеспечение жильем отдельных категорий граждан (федеральные законы от 12 января 1995 года № 5-ФЗ «О ветеранах», от 24 ноября 1995 года № 181-ФЗ «О социальной защите инвалидов в Российской Федерации»)</t>
  </si>
  <si>
    <t xml:space="preserve">Подпрограмма № 4
«Развитие системы отдыха и оздоровления детей»
</t>
  </si>
  <si>
    <t>1.1</t>
  </si>
  <si>
    <t>Круглогодичное оздоровление детей на базе государственного автономного учреждения здравоохранения Архангельской области «Санаторий «Сольвычегодск»</t>
  </si>
  <si>
    <t>министерство здравоохранения Архангельской области</t>
  </si>
  <si>
    <t>количество оздоровленных детей; человек</t>
  </si>
  <si>
    <t>525</t>
  </si>
  <si>
    <t>399</t>
  </si>
  <si>
    <t>1050</t>
  </si>
  <si>
    <t>650</t>
  </si>
  <si>
    <t>1560</t>
  </si>
  <si>
    <t>981</t>
  </si>
  <si>
    <t>Полное удовлетворение заявлений граждан.</t>
  </si>
  <si>
    <t>1.3</t>
  </si>
  <si>
    <t>Круглогодичное оздоровление детей на базе государственного бюджетного учреждения здравоохранения Архангельской области Детский санаторий «Лесная поляна»</t>
  </si>
  <si>
    <t>214</t>
  </si>
  <si>
    <t>179</t>
  </si>
  <si>
    <t>428</t>
  </si>
  <si>
    <t>402</t>
  </si>
  <si>
    <t>643</t>
  </si>
  <si>
    <t>1.5</t>
  </si>
  <si>
    <t>Организация отдыха и оздоровления детей в каникулярный период</t>
  </si>
  <si>
    <t>500</t>
  </si>
  <si>
    <t>973</t>
  </si>
  <si>
    <t>25000</t>
  </si>
  <si>
    <t>27023</t>
  </si>
  <si>
    <t>35000</t>
  </si>
  <si>
    <t>30238</t>
  </si>
  <si>
    <t>2.6</t>
  </si>
  <si>
    <t>Организация отдыха детей-сирот и детей, оставшихся без попечения родителей, обучающихся и завершивших обучение в текущем учебном году в государственных профессиональных образовательных организациях Архангельской области</t>
  </si>
  <si>
    <t>доля оздоровленных детей-сирот и детей, оставшихся без попечения родителей; процент</t>
  </si>
  <si>
    <t>100</t>
  </si>
  <si>
    <t xml:space="preserve">Подпрограмма № 6 «Повышение качества
жизни граждан пожилого возраста и инвалидов 
в Архангельской области»
</t>
  </si>
  <si>
    <t>4.10.</t>
  </si>
  <si>
    <t>Организация сопровождения совершеннолетних граждан, нуждающихся в посторонней помощи, государственным бюджетным учреждением социального обслуживания населения Архангельской области «Центр помощи совершеннолетним гражданам с ментальными особенностями»</t>
  </si>
  <si>
    <t>Количество обслуженных граждан; человек</t>
  </si>
  <si>
    <t>130</t>
  </si>
  <si>
    <t>131</t>
  </si>
  <si>
    <t>115</t>
  </si>
  <si>
    <t>123</t>
  </si>
  <si>
    <t>Отсутствие заявлений.</t>
  </si>
  <si>
    <t>4.15.</t>
  </si>
  <si>
    <t>Количество ветеранов Великой Отечественной (участников, инвалидов, ЖБЛ, несовершеннолетних узников, членов семей погибших (умерших) участников Великой Отечественной войны, которым оказана адресная социальная помощь; человек</t>
  </si>
  <si>
    <t>240</t>
  </si>
  <si>
    <t>226</t>
  </si>
  <si>
    <t>293</t>
  </si>
  <si>
    <t>315</t>
  </si>
  <si>
    <t>Количество ветеранов Великой Отечественной войны (тружеников тыла), которым оказана адресная социальная помощь; человек</t>
  </si>
  <si>
    <t>200</t>
  </si>
  <si>
    <t>193</t>
  </si>
  <si>
    <t>220</t>
  </si>
  <si>
    <t>Улучшение социально-бытового положения отдельных категорий граждан из числа ветеранов и инвалидов Великой Отечественной войны, не имеющих оснований для обеспечения жильем в соответствии с Указом Президента Российской Федерации от 07 мая 2008 года № 714 “Об обеспечении жильем ветеранов Великой Отечественной войны 1941 – 1945 годов”, и ветеранов боевых действий</t>
  </si>
  <si>
    <t>Количество ветеранов боевых действий, которым оказана социальная помощь; человек</t>
  </si>
  <si>
    <t>40</t>
  </si>
  <si>
    <t>33</t>
  </si>
  <si>
    <t>73</t>
  </si>
  <si>
    <t>Подпрограмма № 8 «Доступная среда»</t>
  </si>
  <si>
    <t>2.1.1.</t>
  </si>
  <si>
    <t>Подготовка и проведение научно-практических конференций и семинаров для специалистов государственных организаций и учреждений Архангельской области и муниципальных организаций и учреждений муниципальных образований Архангельской области по вопросам преобразования среды жизнедеятельности инвалидов и других МГН</t>
  </si>
  <si>
    <t>Количество проведенных научно-практических конференций и семинаров; единиц</t>
  </si>
  <si>
    <t>Проведение семинара было запланировано в сентябре 2017 года, но, учитывая отпускной период лекторов, привлекаемых на семинар, было принято решение о переносе его на октябрь текущего года.</t>
  </si>
  <si>
    <t>ГП АО "Культура Русского Севера (2013 – 2020 годы)"</t>
  </si>
  <si>
    <t>2.8</t>
  </si>
  <si>
    <t>Обеспечение целевой поддержки проектов и специалистов сферы культуры, туризма и образования в сфере культуры и искусства Архангельской области, а также обеспечение выплат, связанных с предоставлением работникам компенсации расходов на оплату стоимости проезда и провоза багажа к месту использования отпуска и обратно</t>
  </si>
  <si>
    <t>Министерство культуры Архангельской области</t>
  </si>
  <si>
    <t>средняя сумма одного гранта для поддержки творческих проектов в сфере культуры и искусства Архангельской области; тыс.рублей</t>
  </si>
  <si>
    <t>518,2</t>
  </si>
  <si>
    <t>467,7</t>
  </si>
  <si>
    <t>В связи с уменьшением грантового фонда Губернатора Архангельской области на поддержку проектов регионального значения в сфере культуры и искусства по сравнению с 2016 годом на 921,8 тыс. руб.  и одна из социально ориентированных организаций – победитель конкурса на соискание грантов от получения гранта в размере 133,6 тыс. руб. отказалась. Средства в размере 1 055,4 тыс. руб. перераспределены на другие мероприятия государственной программы.</t>
  </si>
  <si>
    <t>2.9</t>
  </si>
  <si>
    <t>Модернизация и развитие, обследование и ремонт учреждений культуры, муниципальных учреждений культуры, школ искусств, образовательных организаций в сфере культуры и искусства</t>
  </si>
  <si>
    <t>Проведение конкурсных процедур по текущему ремонту – замене окон в здании ГБУАО «Государственный архив Архангельской области» по адресу Архангельск, ул. Федота Шубина, 1; срок завершения</t>
  </si>
  <si>
    <t>31 июля</t>
  </si>
  <si>
    <t>24 августа</t>
  </si>
  <si>
    <t>Обеспечение деятельности министерства культуры Архангельской области
 и инспекции по охране объектов культурного наследия Архангельской области</t>
  </si>
  <si>
    <t>Разработка проекта методических рекомендации по развитию сети организаций культуры и обеспеченности населения услугами организаций культуры муниципальных образований Архангельской области в соответствии с социальными нормативами (далее – методические рекомендации) и согласовать  с муниципальными образованиями Архангельской области; срок завершения</t>
  </si>
  <si>
    <t>30 июля</t>
  </si>
  <si>
    <t>29 августа</t>
  </si>
  <si>
    <t>Утверждение методических рекомендации постановлением Правительства Архангельской области   и направить в Министерство культуры Российской Федерации; срок завершения</t>
  </si>
  <si>
    <t>20 августа</t>
  </si>
  <si>
    <t>Разрабатываются методические рекомендации органам местного самоуправления Архангельской области по развитию сети организаций культуры Архангельской области и обеспеченности населения услугами организаций культуры.</t>
  </si>
  <si>
    <t>ГП АО "Развития сельского хозяйства и регулирования рынков сельскохозяйственной продукции, сырья и продовольствия Архангельской области на 2013 – 2020 годы"</t>
  </si>
  <si>
    <t xml:space="preserve">Подпрограмма № 1 «Развитие агропромышленного комплекса 
Архангельской области»
</t>
  </si>
  <si>
    <t>3.1.1</t>
  </si>
  <si>
    <t>Поддержка элитного семеноводства</t>
  </si>
  <si>
    <t>картофеля; тонн</t>
  </si>
  <si>
    <t>244,3</t>
  </si>
  <si>
    <t>Сократились объемы приобретения элитных семян в связи с недостаточностью средств у сельскохозяйственных товаропроизводителей.</t>
  </si>
  <si>
    <t>зерновых культур; тонн</t>
  </si>
  <si>
    <t>многолетних трав; тонн</t>
  </si>
  <si>
    <t>0,3</t>
  </si>
  <si>
    <t>5.7.2</t>
  </si>
  <si>
    <t>Компенсация части затрат на водоснабжение при производстве молока</t>
  </si>
  <si>
    <t>министерство агропромышленного комплекса и торговли Архангельской области</t>
  </si>
  <si>
    <t>количество сельскохозяйственных организаций Архангельской области, получающих компенсации на водоснабжение при производстве молока; единиц</t>
  </si>
  <si>
    <t xml:space="preserve">Участником государственной программы, претендующим на получение компенсации, документы на получение субсидий представлены позднее установленных сроков, в связи с этим выплата субсидии переносится на 4 квартал 2017 года. </t>
  </si>
  <si>
    <t>Подпрограмма № 3 «Создание условий для реализации государственной программы»</t>
  </si>
  <si>
    <t>1.2</t>
  </si>
  <si>
    <t>Обеспечение деятельности государственных бюджетных учреждений Архангельской области, подведомственных министерству агропромышленного комплекса и торговли</t>
  </si>
  <si>
    <t>Исполнение кассового плана финансирования деятельности государственных бюджетных учреждений Архангельской области, подведомственных министерству агропромышленного комплекса и торговли Архангельской области, к утвержденному плану года; процентов</t>
  </si>
  <si>
    <t>В связи с внесением изменений в ведомственный перечень государственных услуг (работ), оказываемых (выполняемых) государственными учреждениями Архангельской области, подведомственными министерству агропромышленного комплекса и торговли Архангельской области, работы выполнены позднее.</t>
  </si>
  <si>
    <t>2.1</t>
  </si>
  <si>
    <t>Осуществление функций в сфере ветеринарии</t>
  </si>
  <si>
    <t>инспекция по ветеринарному надзору Архангельской области</t>
  </si>
  <si>
    <t>Исполнение кассового плана финансирования деятельности инспекции по ветеринарному надзору Архангельской области как соисполнителя государственной программы к утвержденному плану года; процентов</t>
  </si>
  <si>
    <t>68,9</t>
  </si>
  <si>
    <t>Неполное исполнение кассового плана 9 месяцев 2017 года на осуществление функций в сфере ветеринарии в связи с тем, что проводились конкурсные процедуры на замещение вакантных должностей государственной гражданской службы Архангельской области (консультанта, главного специалиста-эксперта отдела государственного ветеринарного надзора инспекции по ветеринарному надзору Архангельской области) состоялись в 3 квартале 2017 года.</t>
  </si>
  <si>
    <t>ГП АЛО "Обеспечение качественным, доступным жильем и инженерной инфраструктуры населения Архангельской области (2014 – 2020 годы)"</t>
  </si>
  <si>
    <t>Подпрограмма № 1 «Создание условий для обеспечения доступным и комфортным жильем жителей Архангельской области»</t>
  </si>
  <si>
    <t>1.2.</t>
  </si>
  <si>
    <t>Предоставление доступного и комфортного жилья 60 процентам семей, проживающих в Архангельской области и желающих улучшить свои жилищные условия, включая граждан-членов жилищно-строительных кооперативов, и ветеранам Великой Отечественной войны (строительство и приобретение жилья, в том числе для использования в качестве маневренного жилищного фонда, и объектов инженерной инфраструктуры)</t>
  </si>
  <si>
    <t>строительство магистральных водопроводных сетей; срок завершения</t>
  </si>
  <si>
    <t>16 августа</t>
  </si>
  <si>
    <t>Предоставление социальных выплат работникам государственных учреждений Архангельской области и муниципальных учреждений муниципальных образований Архангельской области на приобретение жилых помещений на первичном рынке</t>
  </si>
  <si>
    <t>Перечисление социальных выплат работникам государственных учреждений Архангельской области и муниципальных учреждений муниципальных образований Архангельской области на приобретение жилых помещений на первичном рыке; человек</t>
  </si>
  <si>
    <t>Отсутствие обращений работников организаций бюджетной сферы в кредитную организацию за открытием блокированных, целевых банковских счетов для перечисления средств социальной выплаты.</t>
  </si>
  <si>
    <t>Подпрограмма № 2 «Обеспечение жильем молодых семей»</t>
  </si>
  <si>
    <t>1.1.</t>
  </si>
  <si>
    <t>Предоставление социальных выплат молодым семьям</t>
  </si>
  <si>
    <t>администрация Губернатора Архангельской области и Правительства Архангельской области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</si>
  <si>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помещения; единиц</t>
  </si>
  <si>
    <t>159</t>
  </si>
  <si>
    <t>125</t>
  </si>
  <si>
    <t>В связи с необходимостью замены ряда семей, включенных в список семей – претендентов на получение социальных выплат в 2017 году, ввиду их отказа от участия в подпрограмме в 2017 году, а также выявления несоответствия ряда семей условиям участия в подпрограмме после проверки представленных ими документов.</t>
  </si>
  <si>
    <t>ГП АО "Содействие занятости населения Архангельской области, улучшение условий и охраны труда (2014 – 2020 годы)"</t>
  </si>
  <si>
    <t>Подпрограмма № 1 «Активная политика занятости и социальная поддержка безработных граждан (2014 – 2020 годы)»</t>
  </si>
  <si>
    <t>Содействие гражданам в поиске подходящей работы, а работодателям - в подборе необходимых работников</t>
  </si>
  <si>
    <t>численность трудоустроенных при содействии центров занятости населения; человек</t>
  </si>
  <si>
    <t>5247</t>
  </si>
  <si>
    <t>5164</t>
  </si>
  <si>
    <t>13305</t>
  </si>
  <si>
    <t>12111</t>
  </si>
  <si>
    <t>19826</t>
  </si>
  <si>
    <t>18183</t>
  </si>
  <si>
    <t>1.4.</t>
  </si>
  <si>
    <t>Организация временного трудоустройства несовершеннолетних граждан в возрасте от 14 до 18 лет в свободное от учебы время</t>
  </si>
  <si>
    <t>численность несовершеннолетних граждан, трудоустроенных на условиях временной занятости в свободное от учебы время; человек</t>
  </si>
  <si>
    <t>358</t>
  </si>
  <si>
    <t>381</t>
  </si>
  <si>
    <t>2088</t>
  </si>
  <si>
    <t>2023</t>
  </si>
  <si>
    <t>3630</t>
  </si>
  <si>
    <t>2895</t>
  </si>
  <si>
    <t xml:space="preserve">Причины невыполнения связаны с сокращением на 33,7 процента к 2016 году числа обращений в органы службы занятости населения несовершеннолетних граждан. В январе – сентябре 2017 года обратились 3288 несовершеннолетних граждан в возрасте от 14 до 18 лет, в аналогичном периоде 2016 года – 4963 человека. </t>
  </si>
  <si>
    <t>2.3.</t>
  </si>
  <si>
    <t>Содействие трудоустройству незанятых многодетных родителей, родителей, воспитывающих детей-инвалидов</t>
  </si>
  <si>
    <t>количество  специальных рабочих мест для трудоустройства многодетных родителей, родителей, воспитывающих детей-инвалидов; единиц</t>
  </si>
  <si>
    <t>28</t>
  </si>
  <si>
    <t>22</t>
  </si>
  <si>
    <t>Причины невыполнения связаны с тем, что договоры на создание или сохранение рабочих мест для трудоустройства молодежи, незанятых многодетных родителей, родителей, воспитывающих детей-инвалидов, заключены в сентябре, фактическое трудоустройство состоится в октябре 2017 года.</t>
  </si>
  <si>
    <t>2.4.</t>
  </si>
  <si>
    <t>Содействие трудоустройству молодежи</t>
  </si>
  <si>
    <t>количество созданных или сохраненных рабочих мест для трудоустройства молодежи; единиц</t>
  </si>
  <si>
    <t>29</t>
  </si>
  <si>
    <t>19</t>
  </si>
  <si>
    <t xml:space="preserve">Подпрограмма № 5 «Повышение мобильности трудовых ресурсов (2015 – 2017 годы)»
</t>
  </si>
  <si>
    <t>1.3.</t>
  </si>
  <si>
    <t>Обеспечение перечисления средств финансовой поддержки работодателям, привлекающим трудовые ресурсы из субъектов Российской Федерации, не включенных в перечень приоритетных, в соответствии с сертификатом</t>
  </si>
  <si>
    <t>численность граждан из субъектов Российской Федерации трудоустроенных
на постоянную работу и получивших финансовую поддержку; человек</t>
  </si>
  <si>
    <t>23</t>
  </si>
  <si>
    <t>36</t>
  </si>
  <si>
    <t>ГП АО "Защита населения и территории Архангельской области от чрезвычайных ситуаций, обеспечение пожарной безопасности и безопасности людей на водных объектах (2014 – 2017 годы)"</t>
  </si>
  <si>
    <t>Подпрограмма № 2. «Снижение рисков и смягчение последствий чрезвычайных ситуаций, а также обеспечение безопасности людей на водных объектах»</t>
  </si>
  <si>
    <t>2.8.</t>
  </si>
  <si>
    <t>Финансовое обеспечение деятельности государственного бюджетного образовательного учреждения дополнительного профессионального образования Архангельской области "Учебно-методический центр по гражданской обороне, чрезвычайным ситуациям и пожарной безопасности"</t>
  </si>
  <si>
    <t>агентство ГПС и ГЗ Архангельской области</t>
  </si>
  <si>
    <t>количество обученных должностных лиц и специалистов  гражданской обороны, Архангельской территориальной подсистемы единой государственной системы предупреждения и ликвидации чрезвычайных ситуаций (РСЧС) и организаций в сфере гражданской обороны, защиты от ЧС, обеспечения радиационной и пожарной безопасности и безопасности людей на водных объектах; человек</t>
  </si>
  <si>
    <t>233</t>
  </si>
  <si>
    <t>126</t>
  </si>
  <si>
    <t>482</t>
  </si>
  <si>
    <t>287</t>
  </si>
  <si>
    <t>598</t>
  </si>
  <si>
    <t>318</t>
  </si>
  <si>
    <t>Снижение расходов на обеспечение обучения специалистов вследствие недостаточного объема финансирования у предприятий.</t>
  </si>
  <si>
    <t>количество обученных работников противопожарной службы Архангельской области; человек</t>
  </si>
  <si>
    <t>134</t>
  </si>
  <si>
    <t>290</t>
  </si>
  <si>
    <t>360</t>
  </si>
  <si>
    <t>304</t>
  </si>
  <si>
    <t>2.11.</t>
  </si>
  <si>
    <t>Хранение резерва материальных ресурсов для ликвидации чрезвычайных ситуаций межмуниципального и регионального характера</t>
  </si>
  <si>
    <t>министерство агропромышленного комплекса 
и торговли Архангельской области</t>
  </si>
  <si>
    <t>исполнение бюджета к утвержденному плану года; процент</t>
  </si>
  <si>
    <t xml:space="preserve"> Перенос некоторых конкурсных процедур  на более поздний период в связи с тем, что в запланированном периоде данные процедуры не состоялись, а также полученной  экономией финансовых средств при проведении конкурсных процедур.</t>
  </si>
  <si>
    <t>Подпрограмма № 3 «Обеспечение деятельности агентства государственной противопожарной службы и гражданской защиты Архангельской области, как ответственного исполнителя»</t>
  </si>
  <si>
    <t>Обеспечение деятельности агентства государственной противопожарной службы и гражданской защиты Архангельской области как ответственного исполнителя государственной программы</t>
  </si>
  <si>
    <t>25,8</t>
  </si>
  <si>
    <t>22,3</t>
  </si>
  <si>
    <t>53,0</t>
  </si>
  <si>
    <t>52,4</t>
  </si>
  <si>
    <t>78,6</t>
  </si>
  <si>
    <t>70,2</t>
  </si>
  <si>
    <t>Неполное освоение средств обусловлено резервированием средств на командировочные расходы отдела государственного регионального надзора на 4 квартал 2017 года, оплатой компенсации стоимости проезда в отпуск работников за 3 квартал 2017 года в октябре месяце.</t>
  </si>
  <si>
    <t>ГП АО "Охрана окружающей среды, воспроизводство и использование природных ресурсов в Архангельской области (2014 – 2020 годы)"</t>
  </si>
  <si>
    <t xml:space="preserve">Подпрограмма № 2. «Воспроизводство и использование 
природных ресурсов»
</t>
  </si>
  <si>
    <t>3.3.</t>
  </si>
  <si>
    <t>Финансовое обеспечение исполнения отдельных переданных полномочий в области охраны и защиты животного мира</t>
  </si>
  <si>
    <t>Министерство природных ресурсов и лесопромышленного комплекса Архангельской области</t>
  </si>
  <si>
    <t>15,9</t>
  </si>
  <si>
    <t>44</t>
  </si>
  <si>
    <t>40,3</t>
  </si>
  <si>
    <t>65</t>
  </si>
  <si>
    <t>60,7</t>
  </si>
  <si>
    <t>Отказа сотрудников министерства природных ресурсов и лесопромышленного комплекса Архангельской области и управления лесничествами от использования своего права на предоставление льготы по   оплате  проезда к месту отдыха и обратно</t>
  </si>
  <si>
    <t>осуществление плановых (рейдовых осмотров) в области охоты; количество проверок</t>
  </si>
  <si>
    <t>Ввиду перераспределения  полномочий по осуществлению  охотничьего надзора в министерстве природных ресурсов и лесопромышленного комплекса Архангельской области.</t>
  </si>
  <si>
    <t>ГП АО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годы)"</t>
  </si>
  <si>
    <t xml:space="preserve">Подпрограмма № 2 «Молодежь Архангельской области 
(2014 –2020 годы)»
</t>
  </si>
  <si>
    <t>Проведение регионального форума "Поморские дни карьерной навигации", организация и проведение двух выездных площадок регионального форума "Поморские дни карьерной навигации"</t>
  </si>
  <si>
    <t>количество участников форума; экземпляр</t>
  </si>
  <si>
    <t>2500</t>
  </si>
  <si>
    <t>1173</t>
  </si>
  <si>
    <t xml:space="preserve">Данные значения будут определяться по состоянию на 31 декабря 2017 года.
</t>
  </si>
  <si>
    <t>Подпрограмма № 3 «Гражданско-патриотическое воспитание граждан Российской Федерации и допризывная подготовка молодежи в Архангельской области (2014 – 2020 годы)»</t>
  </si>
  <si>
    <t>1.7.</t>
  </si>
  <si>
    <t>Выделение субсидий общественным поисковым объединениям и общественным объединениям патриотической направленности</t>
  </si>
  <si>
    <t>Количество субсидий; единиц</t>
  </si>
  <si>
    <t>В настоящий момент положение о конкурсе приводится в соответствие с изменениями в федеральном законодательстве по распределению субсидий.</t>
  </si>
  <si>
    <t>ГП АО "Экономическое развитие и инвестиционная деятельность в Архангельской области (2014 - 2020 годы)"</t>
  </si>
  <si>
    <t>Подпрограмма № 1 «Формирование благоприятной среды для развития инвестиционной деятельности»</t>
  </si>
  <si>
    <t>Совершенствование правового регулирования инвестиционной деятельности в Архангельской области</t>
  </si>
  <si>
    <t>агентство стратегических разработок Архангельской области (далее - агентство стратегических разработок)</t>
  </si>
  <si>
    <t>утверждение областного закона «О внесении изменений в областной закон «О государственной политике Архангельской области в сфере инвестиционной деятельности»; срок завершения</t>
  </si>
  <si>
    <t>01 мая</t>
  </si>
  <si>
    <t>В настоящий момент проект областного закона разработан, ведется работа по согласованию проекта.</t>
  </si>
  <si>
    <t>Подпрограмма № 2 «Развитие субъектов малого и среднего предпринимательства в Архангельской области»</t>
  </si>
  <si>
    <t>1.1.2</t>
  </si>
  <si>
    <t>Создание и обеспечение деятельности информационных сайтов по вопросам поддержки субъектов малого и среднего предпринимательства в информационно-телекоммуникационной сети "Интернет"</t>
  </si>
  <si>
    <t>министерство экономического развития</t>
  </si>
  <si>
    <t>количество уникальных посетителей Портала малого и среднего предпринимательства Архангельской области; единиц</t>
  </si>
  <si>
    <t>6000</t>
  </si>
  <si>
    <t>7362</t>
  </si>
  <si>
    <t>15000</t>
  </si>
  <si>
    <t>14300</t>
  </si>
  <si>
    <t>19402</t>
  </si>
  <si>
    <t>Снижение уникальных посетителей сайта www.msp29.ru за 9 месяцев 2017 года обусловлено отсутствием конкурсных процедур по адресной безвозвратной поддержке для субъектов малого и среднего предпринимательства в 2017 году.</t>
  </si>
  <si>
    <t>1.2.1</t>
  </si>
  <si>
    <t>Проведение информационной кампании по повышению престижа предпринимательской деятельности, в том числе публикации в средствах массовой информации, направленные на популяризацию положительного образа молодого предпринимателя; вовлечение молодежи в мероприятия по молодежному предпринимательству</t>
  </si>
  <si>
    <t>количество  выходов материалов, сюжетов, анонсов, новостей в средствах массовой информации; единиц</t>
  </si>
  <si>
    <t>24</t>
  </si>
  <si>
    <t>55</t>
  </si>
  <si>
    <t>53</t>
  </si>
  <si>
    <t>95</t>
  </si>
  <si>
    <t>91</t>
  </si>
  <si>
    <t>1.2.5</t>
  </si>
  <si>
    <t>Проведение игровых и тренинговых мероприятий, образовательных курсов, конкурсов среди старшеклассников в возрасте 14-17 лет</t>
  </si>
  <si>
    <t>количество  тренинговых и иных мероприятий, образовательных курсов, конкурсов среди старшеклассников в возрасте 14-17 лет; единиц</t>
  </si>
  <si>
    <t>Организация и проведение мероприятий в период летних каникул было существенно затруднено. Реализация мероприятия планируется в четвертом квартале 2017 года.</t>
  </si>
  <si>
    <t>1.2.10</t>
  </si>
  <si>
    <t>Осуществление мониторинга эффективности мероприятий, направленных на вовлечение молодежи в предпринимательскую деятельность</t>
  </si>
  <si>
    <t>количество субъектов малого предпринимательства, созданных физическими лицами в возрасте до 30 лет (включительно), вовлеченными в реализацию мероприятий; единиц</t>
  </si>
  <si>
    <t>Данные значения будут определяться по состоянию на 31 декабря 2017 года.</t>
  </si>
  <si>
    <t>количество вновь созданных рабочих мест (включая вновь зарегистрированных индивидуальных предпринимателей) субъектами молодежного предпринимательства, получившими государственную поддержку; единиц</t>
  </si>
  <si>
    <t>Подпрограмма № 3 «Совершенствование системы управления экономическим развитием Архангельской области»</t>
  </si>
  <si>
    <t>5.2.2</t>
  </si>
  <si>
    <t>Организация выполнения научно-исследовательских работ</t>
  </si>
  <si>
    <t>размещение государственного заказа; срок завершения</t>
  </si>
  <si>
    <t>По причине необходимости уточнения перечня необходимых для выполнения научно-исследовательских работ в рамках формирования стратегии социально-экономического развития Архангельской области в связи с утверждением приказа Минэкономразвития России от 23 марта 2017 года № 132 «Об утверждении методических рекомендаций по разработке и корректировке стратегии социально-экономического развития субъекта Российской Федерации и плана мероприятий по ее реализации».</t>
  </si>
  <si>
    <t>заключение государственных контрактов на выполнение научно-исследовательских работ; срок завершения</t>
  </si>
  <si>
    <t xml:space="preserve">Подпрограмма № 4 «Совершенствование организации государственных закупок в Архангельской области»
</t>
  </si>
  <si>
    <t>Обеспечение деятельности контрактного агентства как ответственного исполнителя подпрограммы</t>
  </si>
  <si>
    <t>контрактное агентство</t>
  </si>
  <si>
    <t>исполнение бюджета к плану года; процент</t>
  </si>
  <si>
    <t>24,6</t>
  </si>
  <si>
    <t>48,3</t>
  </si>
  <si>
    <t>69</t>
  </si>
  <si>
    <t>Дата выплаты заработной платы и налогов – 01 октября 2017 года</t>
  </si>
  <si>
    <t>ГП АО "Развитие лесного комплекса Архангельской области (2014 – 2020 годы)"</t>
  </si>
  <si>
    <t>Подпрограмма № 1 «Обеспечение использования лесов»</t>
  </si>
  <si>
    <t>Организация использования лесов</t>
  </si>
  <si>
    <t>создание лесных дорог (кроме противопожарного назначения); км</t>
  </si>
  <si>
    <t>229,8</t>
  </si>
  <si>
    <t>156,7</t>
  </si>
  <si>
    <t xml:space="preserve">В установленные сроки не был заключён контракт на выполнение работ по разработке проекта Лесного плана Архангельской области на 2017-2027 годы, в связи с тем, что Минприроды Российской Федерации не приняты «Правила ухода за лесом» учитывающие особенности ведения лесного хозяйства в Двинско-Вычегодском таежном районе.
</t>
  </si>
  <si>
    <t>Проведение мероприятий лесоустройства</t>
  </si>
  <si>
    <t>заключение государственного контракта на проведение лесоустройства земель лесного фонда Архангельской области; срок завершения</t>
  </si>
  <si>
    <t>1 июля</t>
  </si>
  <si>
    <t>14 июля</t>
  </si>
  <si>
    <t>Подпрограмма № 2 «Воспроизводство лесов»</t>
  </si>
  <si>
    <t>Осуществление лесовосстановления 
и лесоразведения</t>
  </si>
  <si>
    <t>площадь проведенной обработки почвы под лесные культуры; га</t>
  </si>
  <si>
    <t>1300</t>
  </si>
  <si>
    <t>1680</t>
  </si>
  <si>
    <t>4529</t>
  </si>
  <si>
    <t>2868,1</t>
  </si>
  <si>
    <t>В целях выполнения объемов работ министерством в марте отправлена заявка на выделение дополнительного финансирования из областного бюджета, так как дополнительные средства не были выделены до срока проведения работ объемы не выполнены.</t>
  </si>
  <si>
    <t>Подпрограмма № 3 «Охрана и защита лесов»</t>
  </si>
  <si>
    <t>2.1.</t>
  </si>
  <si>
    <t>Проведение профилактики возникновения, локализация и ликвидация очагов вредных организмов</t>
  </si>
  <si>
    <t>площадь проведения профилактических мероприятий по защите лесов (биотехнические мероприятия); га</t>
  </si>
  <si>
    <t>109</t>
  </si>
  <si>
    <t>29,25</t>
  </si>
  <si>
    <t>Нарушение плана реализации по проведению лесопатологического обследования связано с удовлетворительной и стабильной, на сегодняшний день, фактической санитарной и лесопатологической обстановкой в регионе.</t>
  </si>
  <si>
    <t>площадь проведения сплошных и выборочных санитарных рубок в лесах; га</t>
  </si>
  <si>
    <t>496</t>
  </si>
  <si>
    <t>395</t>
  </si>
  <si>
    <t>968</t>
  </si>
  <si>
    <t>966,6</t>
  </si>
  <si>
    <t>Подпрограмма № 4. «Обеспечение реализации государственной программы Архангельской области «Развитие лесного комплекса Архангельской области (2014 – 2020 годы)»</t>
  </si>
  <si>
    <t>Обеспечение деятельности исполнительного органа государственной власти Архангельской области, осуществляющего руководство 
и управление в сфере установленных функций</t>
  </si>
  <si>
    <t>Исполнение бюджета к утвержденному плану года; проценты</t>
  </si>
  <si>
    <t>20,5</t>
  </si>
  <si>
    <t>47,7</t>
  </si>
  <si>
    <t>38,4</t>
  </si>
  <si>
    <t>72,7</t>
  </si>
  <si>
    <t>65,6</t>
  </si>
  <si>
    <t xml:space="preserve"> - излишне заявленные средства на выплату заработной платы 
и начисления на оплату труда, а также средства на выплату отпускных по сроку с 1 по 05 число, следующее за отчетным периодом;
- экономия по оплате работникам  проезда к месту отдыха и обратно, авансовые отчеты предъявлены на меньшие, чем планировалось суммы;
- не заключен договор на  экологическую экспертизу;
- остаток средств по уплате налога на имущество, транспортного налога, в связи с уточнением сумм налогов за соответствующий период.
</t>
  </si>
  <si>
    <t>Обеспечение деятельности подведомственных учреждений</t>
  </si>
  <si>
    <t>20,2</t>
  </si>
  <si>
    <t>18,1</t>
  </si>
  <si>
    <t>45,9</t>
  </si>
  <si>
    <t>41,8</t>
  </si>
  <si>
    <t>70,1</t>
  </si>
  <si>
    <t>66,5</t>
  </si>
  <si>
    <t xml:space="preserve">Фактическая потребность территориальных органов и государственных казенных учреждений министерства в объемах финансирования за 9 месяцев сложилась меньше запланированной в виду следующих причин: 
- излишне заявленные средства на выплату заработной платы 
и начисления на оплату труда, а также средства на выплату отпускных по сроку с 1 по 05 число, следующее за отчетным периодом;
- экономия по оплате работникам  проезда к месту отдыха и обратно, авансовые отчеты предъявлены на меньшие, чем планировалось суммы;
не заключен договор на  экологическую экспертизу;
- остаток средств на материально-техническое обеспечение деятельности 28 государственных казенных учреждений, 2 территориальных органов 
и аппарата министерства - излишне заявленные средства на оплату услуг 
и поставку товаров;
- остаток средств по уплате налога на имущество, земельного налога, транспортного налога, в связи с уточнением суммы налога за соответствующий период.
</t>
  </si>
  <si>
    <t>ГП АО "Развитие энергетики, связи и жилищно-коммунального хозяйства Архангельской области (2014 - 2020 годы)"</t>
  </si>
  <si>
    <t>Подпрограмма №3 «Формирование и реализация региональной политики в сфере энергетики, связи и жилищно-коммунального хозяйства Архангельской области»</t>
  </si>
  <si>
    <t>Субсидии на возмещение недополученных доходов,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</si>
  <si>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министерство ТЭК и ЖКХ АО</t>
  </si>
  <si>
    <t>количество организаций, в адрес которых представлены субсидии; единиц</t>
  </si>
  <si>
    <t>102</t>
  </si>
  <si>
    <t>106</t>
  </si>
  <si>
    <t>Финансирование осуществляется по заключенным договорам и по поступившим от ресурсонабжающих организаций заявкам.</t>
  </si>
  <si>
    <t>3.4.</t>
  </si>
  <si>
    <t>Субсидии на возмещение недополученных доходов, возникающих в результате государственного регулирования розничных цен на топливо твердое, отпускаемое населению для нужд отопления</t>
  </si>
  <si>
    <t>31</t>
  </si>
  <si>
    <t>3.9.</t>
  </si>
  <si>
    <t>Обеспечение деятельности министерства ТЭК и ЖКХ</t>
  </si>
  <si>
    <t>исполнение бюджета к утвержденному плану на год; проценты</t>
  </si>
  <si>
    <t>21,5</t>
  </si>
  <si>
    <t>25.3</t>
  </si>
  <si>
    <t>47,2</t>
  </si>
  <si>
    <t>51,2</t>
  </si>
  <si>
    <t>76,5</t>
  </si>
  <si>
    <t>73,1</t>
  </si>
  <si>
    <t>Часть запланированных командировок перенесена на 4 квартал 2017 года</t>
  </si>
  <si>
    <t>3.10.</t>
  </si>
  <si>
    <t>Обеспечение деятельности государственной жилищной инспекции</t>
  </si>
  <si>
    <t>ГЖИ</t>
  </si>
  <si>
    <t>48</t>
  </si>
  <si>
    <t>47</t>
  </si>
  <si>
    <t>74</t>
  </si>
  <si>
    <t>Экономия по заработной плате по причине наличия вакантных должностей</t>
  </si>
  <si>
    <t>3.13.</t>
  </si>
  <si>
    <t>Обеспечение выполнения государственного задания ГКУ Архангельской области «Региональный центр по энергосбережению"</t>
  </si>
  <si>
    <t>26,9</t>
  </si>
  <si>
    <t>42,3</t>
  </si>
  <si>
    <t>79,5</t>
  </si>
  <si>
    <t>61,9</t>
  </si>
  <si>
    <t>ГП АО "Развитие местного самоуправления Архангельской области и государственная поддержка социально-ориентированных некоммерческих организаций (2014 – 2020 годы)"</t>
  </si>
  <si>
    <t>Подпрограмма № 1 «Государственная поддержка социально ориентированных некоммерческих организаций»</t>
  </si>
  <si>
    <t>3.1</t>
  </si>
  <si>
    <t>Организационно-техническое обеспечение деятельности Общественной палаты Архангельской области</t>
  </si>
  <si>
    <t>Организационно-техническое обеспечение нужд Общественной палаты Архангельской области в соответствии с утвержденной сметой; процентов</t>
  </si>
  <si>
    <t>77</t>
  </si>
  <si>
    <t>50,1</t>
  </si>
  <si>
    <t>Не полное исполнение обусловлено тем, что Общественная палата Российской Федерации в октябре-декабре 2017 года проводит большое количество мероприятий с приглашением членов Общественных палат регионов Российской Федерации, в связи с чем основные расходы на командировки перенесены на четвертый квартал отчетного года.</t>
  </si>
  <si>
    <t>ГП АО "Развитие транспортной системы Архангельской области (2014 - 2020 годы)"</t>
  </si>
  <si>
    <t>Подпрограмма № 2 «Развитие общественного пассажирского транспорта и транспортной инфраструктуры Архангельской области»</t>
  </si>
  <si>
    <t>1.10.</t>
  </si>
  <si>
    <t>Проектирование и строительство транспортных развязок в муниципальном образовании "Город Архангельск"</t>
  </si>
  <si>
    <t>министерство транспорта  Архангельской области</t>
  </si>
  <si>
    <t>Выполнение конкурсных процедур и заключение контрактов на разработку проектной документации по двум транспортным развязкам; срок завершения</t>
  </si>
  <si>
    <t>30 июня</t>
  </si>
  <si>
    <t>26 сентября</t>
  </si>
  <si>
    <t xml:space="preserve">Выполнение конкурсных процедур и заключение контрактов на разработку проектной документации перенесено на 2 полугодие 2017 года в связи с реорганизационными процедурами в мэрии города Архангельска и изменением заказчика 
по мероприятию.
</t>
  </si>
  <si>
    <t>2.2.</t>
  </si>
  <si>
    <t>Строительство (приобретение) речных судов для осуществления грузопассажирских перевозок на территории Архангельской области</t>
  </si>
  <si>
    <t>Количество приобретенных речных судов; единиц</t>
  </si>
  <si>
    <t>Подпрограмма № 3 «Развитие и совершенствование сети автомобильных дорог общего пользования регионального значения»</t>
  </si>
  <si>
    <t>4.4.</t>
  </si>
  <si>
    <t>Строительство (реконструкция) автомобильной дороги Усть-Ваеньга - Осиново - Фалюки</t>
  </si>
  <si>
    <t>Архангельскавтодор</t>
  </si>
  <si>
    <t>Экспертиза проектной документации; срок завершения</t>
  </si>
  <si>
    <t>3 апреля</t>
  </si>
  <si>
    <t>29 июня</t>
  </si>
  <si>
    <t>Нарушение подрядчиком сроков выполнения государственного контракта.</t>
  </si>
  <si>
    <t>Подпрограмма № 4 «Улучшение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содержания»</t>
  </si>
  <si>
    <t>Разработка проектной документации на капитальный ремонт и ремонт мостов</t>
  </si>
  <si>
    <t>Количество разработанных проектных документаций; единиц</t>
  </si>
  <si>
    <t>Нарушение подрядчиками сроков выполнения работ по двум государственным контрактам.</t>
  </si>
  <si>
    <t>Капитальный ремонт и ремонт мостов</t>
  </si>
  <si>
    <t>Техническая готовность вводных объектов (I квартал: подготовка документации для размещения государственного заказа, торги; II-IV квартал: заключение государственных контрактов, выполнение работ по капитальному ремонту и ремонту мостов); процент</t>
  </si>
  <si>
    <t>9,2</t>
  </si>
  <si>
    <t>86</t>
  </si>
  <si>
    <t>79</t>
  </si>
  <si>
    <t>Отставание в достижении целевого показателя плана реализации вызвано невозможностью выполнения работ по забивке свай на мостовых переходах, связанной с высоким уровнем воды из-за затяжного паводка и интенсивных осадков в летний период</t>
  </si>
  <si>
    <t>Устройство линий искусственного освещения в рамках обеспечения безопасности движения по региональным автомобильным дорогам</t>
  </si>
  <si>
    <t>Готовность проектной документации (I-II квартал: разработка проектной документации; III квартал  проведение экспертизы проектной документации); процент</t>
  </si>
  <si>
    <t>27,5</t>
  </si>
  <si>
    <t>70</t>
  </si>
  <si>
    <t xml:space="preserve">Нарушение срока выполнения работ по 3 государственным контрактам. </t>
  </si>
  <si>
    <t>3.5.</t>
  </si>
  <si>
    <t>Устройство автобусных остановок в рамках обеспечения безопасности движения по региональным автомобильным дорогам</t>
  </si>
  <si>
    <t>Количество устроенных автобусных остановок; единиц</t>
  </si>
  <si>
    <t xml:space="preserve">Неисполнение подрядчиком предусмотренных по государственному контракту обязательств. </t>
  </si>
  <si>
    <t>Подпрограмма № 5 «Создание условий для реализации государственной программы и осуществления иных расходов»</t>
  </si>
  <si>
    <t>Обеспечение деятельности министерства транспорта Архангельской области</t>
  </si>
  <si>
    <t>Количество зарегистрированных самоходных машин и прицепов к ним; единиц</t>
  </si>
  <si>
    <t>942</t>
  </si>
  <si>
    <t>863</t>
  </si>
  <si>
    <t>2069</t>
  </si>
  <si>
    <t>1646</t>
  </si>
  <si>
    <t>146</t>
  </si>
  <si>
    <t>В связи с сокращением штатной численности инженеров-инспекторов и количества выданных удостоверений тракториста-машиниста. В связи со снижением потребности и количества выпускников учебных заведений по подготовке и переподготовке трактористов-машинистов.</t>
  </si>
  <si>
    <t>Количество выданных удостоверений тракториста-машиниста; единиц</t>
  </si>
  <si>
    <t>145</t>
  </si>
  <si>
    <t>42</t>
  </si>
  <si>
    <t>232</t>
  </si>
  <si>
    <t>94</t>
  </si>
  <si>
    <t>2296</t>
  </si>
  <si>
    <t>Обеспечение деятельности учреждений, осуществляющих управление в сфере дорожного хозяйства</t>
  </si>
  <si>
    <t>Исполнение бюджета к утвержденному плану года; процент</t>
  </si>
  <si>
    <t>71</t>
  </si>
  <si>
    <t>ГП АО "Развитие инфраструктуры Соловецкого архипелага (2014 – 2019 годы)"</t>
  </si>
  <si>
    <t>Строительство комплекса по переработке и размещению отходов производства и потребления в поселке Соловецкий, проведение оценки воздействия на объект всемирного наследия ЮНЕСКО</t>
  </si>
  <si>
    <t>агентство по развитию Соловецкого архипелага Архангельской области</t>
  </si>
  <si>
    <t>получение положительного заключения государственной экспертизы; срок завершения</t>
  </si>
  <si>
    <t>31 августа</t>
  </si>
  <si>
    <t>Получено отрицательное заключение госэкспертизы.</t>
  </si>
  <si>
    <t>37.</t>
  </si>
  <si>
    <t>Финансовое обеспечение деятельности агентства по развитию Соловецкого архипелага Архангельской области как ответственного исполнителя государственной программы</t>
  </si>
  <si>
    <t>42,5</t>
  </si>
  <si>
    <t>Фактические выплаты по оплате командировочных расходов и выплаты по компенсации расходов на оплату стоимости проезда к месту отдыха и обратно оказались меньше запланированного объема, а также оплата коммунальных расходов, расходов на услуги связи и расходов на содержание имущества за сентябрь 2017 года будут произведены в октябре 2017 года в связи с поздним предоставление счетов и актов выполненных работ.</t>
  </si>
  <si>
    <t>38.</t>
  </si>
  <si>
    <t>Расходы на обеспечение деятельности подведомственных учреждений</t>
  </si>
  <si>
    <t>40,2</t>
  </si>
  <si>
    <t>66,4</t>
  </si>
  <si>
    <t xml:space="preserve">Выплаты по заработной плате и начислениям по ФОТ за сентябрь 2017 года произведены 
в октябре 2017 года.
</t>
  </si>
  <si>
    <t>ГП АО "Развитие имущественно-земельных отношений в Архангельской области (2014 - 2018 годы)"</t>
  </si>
  <si>
    <t>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 и для иных целей</t>
  </si>
  <si>
    <t>Исполнение государственных контрактов; срок завершения</t>
  </si>
  <si>
    <t>Нарушение сроков исполнения контракта со стороны исполнителя. Исполнение контракта ожидается в IV квартале 2017 года.</t>
  </si>
  <si>
    <t>ГП АО "Управление государственными финансами и государственным долгом Архангельской области (2014 - 2017 годы)"</t>
  </si>
  <si>
    <t xml:space="preserve">Подпрограмма № 1 «Организация и обеспечение бюджетного процесса 
и развитие информационных систем управления финансами 
в Архангельской области»
</t>
  </si>
  <si>
    <t>5.2.</t>
  </si>
  <si>
    <t>Обеспечение деятельности министерства финансов как главного администратора расходов областного бюджета</t>
  </si>
  <si>
    <t>министерство финансов Архангельской области</t>
  </si>
  <si>
    <t>Отношение доведенных предельных объемов финансирования к утвержденному плану года по расходам на предоставление субсидий муниципальным образованиям на доставку муки и лекарственных средств в районы Крайнего Севера и приравненные к ним местности с ограниченными сроками завоза грузов; процент</t>
  </si>
  <si>
    <t>55,5</t>
  </si>
  <si>
    <t>34,2</t>
  </si>
  <si>
    <t>74,5</t>
  </si>
  <si>
    <t>59</t>
  </si>
  <si>
    <t>Отсутствие заявок  органов местного самоуправления на перечисление субсидий муниципальным образованиям на доставку муки и лекарственных средств в районы Крайнего Севера и приравненные к ним местности с ограниченными сроками завоза грузов.</t>
  </si>
  <si>
    <t>ГП АО "Эффективное государственное управление в Архангельской области (2014 – 2018 годы)"</t>
  </si>
  <si>
    <t xml:space="preserve">Подпрограмма № 3 «Создание систем электронного правительства, 
развитие информационного общества Архангельской области»
</t>
  </si>
  <si>
    <t>Создание интегрированной региональной информационно-аналитической системы для целей прогнозирования, моделирования и проектирования сценарных вариантов развития региона</t>
  </si>
  <si>
    <t>проведение закупочных процедур и заключение договора; срок завершения</t>
  </si>
  <si>
    <t>На отклонение сроков выполнения мероприятия от плановых значений повлиял трудоемкий процесс формирования, согласования и утверждения технического задания на создание Системы.</t>
  </si>
  <si>
    <t>Создание интернет-портала для разработки стратегии социально-экономического развития Архангельской области</t>
  </si>
  <si>
    <t xml:space="preserve">Причиной нарушения плана реализации ГП АО стал длительный процесс формирования единого мнения между агентством стратегических разработок Архангельской области (функциональным заказчиком) и акционерным обществом «Корпорация развития Архангельской области». </t>
  </si>
  <si>
    <t>Подпрограмма № 4 «Поддержка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области»</t>
  </si>
  <si>
    <t>Производство и размещение информации в средствах массовой информации</t>
  </si>
  <si>
    <t>количество размещенных информационных материалов  на интернет-сайтах информационных агентств; единиц</t>
  </si>
  <si>
    <t>60</t>
  </si>
  <si>
    <t>62</t>
  </si>
  <si>
    <t>170</t>
  </si>
  <si>
    <t>В связи с внесением изменений в областной закон, в части перераспределения бюджетных обязательств между агентством по печати и СМИ АО и подведомственными ему учреждениями.</t>
  </si>
  <si>
    <t>Размещение социальной информации на объектах наружной рекламы</t>
  </si>
  <si>
    <t>агентство  по печати и СМИ</t>
  </si>
  <si>
    <t>количество размещенных тематических проектов  социальной рекламы; единиц</t>
  </si>
  <si>
    <t>В связи с  корректировкой сроков проведения мероприятий с участием Губернатора Архангельской области, в соответствии с которыми запланированы тематические проекты.</t>
  </si>
  <si>
    <t>Организация и (или) участие в профессиональных журналистских конкурсах, форумах, конференциях, учебно-методических семинарах для представителей средств массовой информации</t>
  </si>
  <si>
    <t>количество участников  профессиональных конкурсов, форумов, конференций; человек</t>
  </si>
  <si>
    <t>27</t>
  </si>
  <si>
    <t>В связи с  проведением в отчетном периоде организационных мероприятий по изменению подведомственности государственных автономных учреждений, и переносом на IV квартал 2017 г. ранее запланированных мероприятий.</t>
  </si>
  <si>
    <t>Подпрограмма № 5 «Развитие отдельных направлений системы государственного управления Архангельской области»</t>
  </si>
  <si>
    <t>Обеспечение деятельности агентства записи актов гражданского состояния Архангельской области (далее – агентство ЗАГС)</t>
  </si>
  <si>
    <t>агентство записи актов гражданского состояния Архангельской области</t>
  </si>
  <si>
    <t>доля записей актов гражданского состояния, введенных в государственную информационную систему Архангельской области «Электронный архив записей актов гражданского состояния»; процентов</t>
  </si>
  <si>
    <t>72</t>
  </si>
  <si>
    <t>Отклонение от плана реализации связано с переносом закупки компьютерного оборудования на 4 квартал 2017 года (план – 3 квартал 2017 года).</t>
  </si>
  <si>
    <t>ГП АО "Устойчивое развитие сельских территорий Архангельской области (2014 - 2017 годы)"</t>
  </si>
  <si>
    <t>Улучшение жилищных условий граждан, проживающих в сельской местности</t>
  </si>
  <si>
    <t>министерство агропромышленного комплекса
и торговли</t>
  </si>
  <si>
    <t>Площадь построенного и приобретенного жилья семьями, проживающими в сельской местности; тыс.кв.м.</t>
  </si>
  <si>
    <t>3,0</t>
  </si>
  <si>
    <t>1,1</t>
  </si>
  <si>
    <t>Несвоевременное предоставления гражданами отчетов.</t>
  </si>
  <si>
    <t>Обеспечение жильем в сельской местности молодых семей и молодых специалистов</t>
  </si>
  <si>
    <t>Площадь построенного и приобретенного жилья сельской местности молодыми семьями и молодыми специалистами; тыс.кв.м.</t>
  </si>
  <si>
    <t>2,0</t>
  </si>
  <si>
    <t>1,3</t>
  </si>
  <si>
    <t>Причины невыполнения связаны с сокращением потока граждан, зарегистрированных в центрах занятости населения, на 18,3 процента к показателю 2016 года, в связи с чем уменьшилась численность граждан, трудоустроенных на временные работы 
в рамках мероприятий активной политики занятости на 34,3 процента к показателям 2016 года</t>
  </si>
  <si>
    <t xml:space="preserve">Причины невыполнения 
связаны с отсутствием кандидатур с требуемой квалификацией (высококвалифицированные специалисты судостроительных и машиностроительных профессий) в субъектах Российской Федерации, не включенных в перечень субъектов Российской Федерации, привлечение трудовых ресурсов в которые является приоритетным.
</t>
  </si>
  <si>
    <t xml:space="preserve">Контракт на оказание услуг по авиационному обеспечению санитарных заданий на территории Архангельской области между ГБУЗ АО "Архангельская областная клиническая больница" АО «2-ой Архангельский объединенный авиаотряд» 25.07.2017. Начало осуществления вылетов – с сентября 2017 года. </t>
  </si>
  <si>
    <t>Признание торгов не состоявшимися. Повторное проведение торгов планируется в IV квартале 2017 года.</t>
  </si>
  <si>
    <t>Приложение № 1.2</t>
  </si>
  <si>
    <t>Сведения об исполнении консолидированного бюджета Архангельской области за 9 месяцев 2016 и 2017 годов, согласно отчетам по ф. 0503317, представленным в Минфин России</t>
  </si>
  <si>
    <t>Приложение № 1.3</t>
  </si>
  <si>
    <t>Сведения об исполнении консолидированных бюджетов муниципальных образований Архангельской области за 9 месяцев 2017 года согласно отчетам по ф. 0503317 и 0503387, представленным в Минфин России</t>
  </si>
  <si>
    <t>Приложение № 1.4</t>
  </si>
  <si>
    <t>Налоговые и неналоговые доходы консолидированных бюджетов муниципальных образований Архангельской области за 9 месяцев 2017 года согласно отчету, представленному в Минфин России по ф. 0503317</t>
  </si>
  <si>
    <t>Приложение № 1.5</t>
  </si>
  <si>
    <t>Межбюджетные трансферты из областного бюджета в бюджеты городских округов и муниципальных районов за 9 месяцев 2016 и 2017 годов согласно отчету по ф. 0503317 "Таблица консолидируемых расчетов", представленному в Минфин России</t>
  </si>
  <si>
    <t>Приложение № 1.6</t>
  </si>
  <si>
    <t>Приложение № 3.1</t>
  </si>
  <si>
    <t>Приложение № 3.2</t>
  </si>
  <si>
    <t>Сведения о невыполнении мероприятий или показателей реализации мероприятий государственных программ Архангельской области по состоянию на 01.10.2017</t>
  </si>
  <si>
    <t>Приложение № 4.1</t>
  </si>
  <si>
    <t>Выполнение планов финансово-хозяйственной деятельности государственных, муниципальных бюджетных и автономных учреждений за 9 месяцев 2017 года без учета средств во временном распоряжении, согласно отчетам 0503779 и 0503737</t>
  </si>
  <si>
    <t>Приложение № 4.2</t>
  </si>
  <si>
    <t>Выполнение планов финансово-хозяйственной деятельности государственных бюджетных и автономных учреждений за 9 месяцев 2017 года без учета средств во временном распоряжении, в разрезе главных распорядителей, согласно отчетам по ф. 0503779 и 0503737</t>
  </si>
  <si>
    <t>Приложение № 4.3</t>
  </si>
  <si>
    <t>Состояние задолженности государственных и муниципальных бюджетных и автономных учреждений на 01.10.2017, без учета средств во временном распоряжении, согласно отчету по ф. 0503769</t>
  </si>
  <si>
    <t>Приложение № 4.4</t>
  </si>
  <si>
    <t>Состояние задолженности государственных бюджетных и автономных учреждений на 01.10.2017 согласно отчетам ф 0503769, без учета средств во временном распоряжении</t>
  </si>
  <si>
    <t>05 02. Коммунальное хозяйство</t>
  </si>
  <si>
    <t>Рост, снижение к 9 мес. 2016 года, (+,-) в млн.руб.</t>
  </si>
  <si>
    <t>Рост, снижение к 9 мес. 2016 года, (+,-) в %</t>
  </si>
  <si>
    <t>доходы от использования имущества, находящегося в собственности</t>
  </si>
  <si>
    <t xml:space="preserve">Подпрограмма № 7 «Строительство и капитальный ремонт объектов инфраструктуры системы образования в Архангельской области»
</t>
  </si>
  <si>
    <t>Агентство по спорту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</si>
</sst>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0_ ;[Red]\-#,##0.00\ "/>
    <numFmt numFmtId="165" formatCode="#,##0.0_ ;[Red]\-#,##0.0\ "/>
    <numFmt numFmtId="166" formatCode="#,##0.000000_ ;[Red]\-#,##0.000000\ "/>
    <numFmt numFmtId="167" formatCode="#,##0.000000000000_ ;[Red]\-#,##0.000000000000\ "/>
    <numFmt numFmtId="168" formatCode="#,##0.00000000000_ ;[Red]\-#,##0.00000000000\ "/>
    <numFmt numFmtId="169" formatCode="#,##0.00000_ ;[Red]\-#,##0.00000\ "/>
    <numFmt numFmtId="170" formatCode="#,##0_ ;[Red]\-#,##0\ "/>
    <numFmt numFmtId="171" formatCode="#,##0.0"/>
    <numFmt numFmtId="172" formatCode="#,##0.00_ ;[Red]\-#,##0.00"/>
    <numFmt numFmtId="173" formatCode="_-* #,##0.00&quot;р.&quot;_-;\-* #,##0.00&quot;р.&quot;_-;_-* &quot;-&quot;??&quot;р.&quot;_-;_-@_-"/>
    <numFmt numFmtId="174" formatCode="#,##0.000_ ;[Red]\-#,##0.000\ "/>
    <numFmt numFmtId="175" formatCode="#,##0_ ;\-#,##0\ "/>
    <numFmt numFmtId="176" formatCode="#,##0.000"/>
  </numFmts>
  <fonts count="33" x14ac:knownFonts="1"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color rgb="FF000000"/>
      <name val="Arial Cyr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Tahoma"/>
      <family val="2"/>
      <charset val="204"/>
    </font>
    <font>
      <i/>
      <sz val="10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" fontId="22" fillId="0" borderId="18">
      <alignment horizontal="right"/>
    </xf>
    <xf numFmtId="172" fontId="24" fillId="11" borderId="24">
      <alignment horizontal="center" vertical="center" shrinkToFit="1"/>
    </xf>
    <xf numFmtId="0" fontId="26" fillId="0" borderId="0"/>
    <xf numFmtId="0" fontId="24" fillId="0" borderId="25">
      <alignment horizontal="left" vertical="top" wrapText="1"/>
    </xf>
    <xf numFmtId="0" fontId="26" fillId="0" borderId="0"/>
    <xf numFmtId="0" fontId="31" fillId="0" borderId="0"/>
  </cellStyleXfs>
  <cellXfs count="533"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shrinkToFi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 shrinkToFit="1"/>
    </xf>
    <xf numFmtId="165" fontId="7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shrinkToFit="1"/>
    </xf>
    <xf numFmtId="49" fontId="10" fillId="0" borderId="6" xfId="0" applyNumberFormat="1" applyFont="1" applyFill="1" applyBorder="1" applyAlignment="1">
      <alignment horizontal="center" vertical="center" shrinkToFit="1"/>
    </xf>
    <xf numFmtId="4" fontId="10" fillId="0" borderId="6" xfId="0" applyNumberFormat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 shrinkToFit="1"/>
    </xf>
    <xf numFmtId="0" fontId="4" fillId="0" borderId="6" xfId="0" applyFont="1" applyBorder="1" applyAlignment="1">
      <alignment vertical="center" wrapText="1"/>
    </xf>
    <xf numFmtId="165" fontId="6" fillId="0" borderId="6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shrinkToFit="1"/>
    </xf>
    <xf numFmtId="165" fontId="4" fillId="0" borderId="6" xfId="0" applyNumberFormat="1" applyFont="1" applyBorder="1" applyAlignment="1">
      <alignment vertical="center" wrapText="1"/>
    </xf>
    <xf numFmtId="165" fontId="1" fillId="0" borderId="6" xfId="0" applyNumberFormat="1" applyFont="1" applyBorder="1" applyAlignment="1">
      <alignment vertical="center" wrapText="1"/>
    </xf>
    <xf numFmtId="165" fontId="4" fillId="0" borderId="10" xfId="0" applyNumberFormat="1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2" borderId="6" xfId="0" applyNumberFormat="1" applyFont="1" applyFill="1" applyBorder="1" applyAlignment="1">
      <alignment horizontal="right" shrinkToFit="1"/>
    </xf>
    <xf numFmtId="4" fontId="8" fillId="4" borderId="6" xfId="0" applyNumberFormat="1" applyFont="1" applyFill="1" applyBorder="1" applyAlignment="1">
      <alignment horizontal="right" shrinkToFit="1"/>
    </xf>
    <xf numFmtId="165" fontId="8" fillId="0" borderId="6" xfId="0" applyNumberFormat="1" applyFont="1" applyBorder="1" applyAlignment="1">
      <alignment vertical="center" wrapText="1"/>
    </xf>
    <xf numFmtId="165" fontId="8" fillId="0" borderId="10" xfId="0" applyNumberFormat="1" applyFont="1" applyBorder="1" applyAlignment="1">
      <alignment vertical="center" wrapText="1"/>
    </xf>
    <xf numFmtId="165" fontId="8" fillId="0" borderId="0" xfId="0" applyNumberFormat="1" applyFont="1" applyBorder="1" applyAlignment="1">
      <alignment vertical="center" wrapText="1"/>
    </xf>
    <xf numFmtId="166" fontId="8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vertical="center" wrapText="1"/>
    </xf>
    <xf numFmtId="164" fontId="4" fillId="2" borderId="6" xfId="0" applyNumberFormat="1" applyFont="1" applyFill="1" applyBorder="1" applyAlignment="1">
      <alignment vertical="center" wrapText="1"/>
    </xf>
    <xf numFmtId="4" fontId="4" fillId="5" borderId="6" xfId="0" applyNumberFormat="1" applyFont="1" applyFill="1" applyBorder="1" applyAlignment="1">
      <alignment horizontal="right" shrinkToFit="1"/>
    </xf>
    <xf numFmtId="164" fontId="4" fillId="5" borderId="6" xfId="0" applyNumberFormat="1" applyFont="1" applyFill="1" applyBorder="1" applyAlignment="1">
      <alignment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shrinkToFit="1"/>
    </xf>
    <xf numFmtId="167" fontId="4" fillId="0" borderId="0" xfId="0" applyNumberFormat="1" applyFont="1" applyAlignment="1">
      <alignment vertical="center" wrapText="1"/>
    </xf>
    <xf numFmtId="165" fontId="4" fillId="0" borderId="6" xfId="0" applyNumberFormat="1" applyFont="1" applyFill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0" fontId="13" fillId="6" borderId="5" xfId="0" applyFont="1" applyFill="1" applyBorder="1" applyAlignment="1">
      <alignment vertical="center" wrapText="1"/>
    </xf>
    <xf numFmtId="165" fontId="13" fillId="6" borderId="6" xfId="0" applyNumberFormat="1" applyFont="1" applyFill="1" applyBorder="1" applyAlignment="1">
      <alignment vertical="center" wrapText="1"/>
    </xf>
    <xf numFmtId="165" fontId="13" fillId="6" borderId="10" xfId="0" applyNumberFormat="1" applyFont="1" applyFill="1" applyBorder="1" applyAlignment="1">
      <alignment vertical="center" wrapText="1"/>
    </xf>
    <xf numFmtId="165" fontId="13" fillId="6" borderId="0" xfId="0" applyNumberFormat="1" applyFont="1" applyFill="1" applyAlignment="1">
      <alignment vertical="center" wrapText="1"/>
    </xf>
    <xf numFmtId="164" fontId="13" fillId="6" borderId="0" xfId="0" applyNumberFormat="1" applyFont="1" applyFill="1" applyAlignment="1">
      <alignment vertical="center" wrapText="1"/>
    </xf>
    <xf numFmtId="4" fontId="2" fillId="5" borderId="6" xfId="0" applyNumberFormat="1" applyFont="1" applyFill="1" applyBorder="1" applyAlignment="1">
      <alignment horizontal="right" shrinkToFit="1"/>
    </xf>
    <xf numFmtId="4" fontId="2" fillId="4" borderId="6" xfId="0" applyNumberFormat="1" applyFont="1" applyFill="1" applyBorder="1" applyAlignment="1">
      <alignment horizontal="right" shrinkToFit="1"/>
    </xf>
    <xf numFmtId="165" fontId="2" fillId="0" borderId="6" xfId="0" applyNumberFormat="1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8" fillId="3" borderId="6" xfId="0" applyNumberFormat="1" applyFont="1" applyFill="1" applyBorder="1" applyAlignment="1">
      <alignment horizontal="right" vertical="center" shrinkToFit="1"/>
    </xf>
    <xf numFmtId="165" fontId="8" fillId="0" borderId="0" xfId="0" applyNumberFormat="1" applyFont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right" shrinkToFit="1"/>
    </xf>
    <xf numFmtId="4" fontId="15" fillId="3" borderId="6" xfId="0" applyNumberFormat="1" applyFont="1" applyFill="1" applyBorder="1" applyAlignment="1">
      <alignment horizontal="right" vertical="center" shrinkToFit="1"/>
    </xf>
    <xf numFmtId="4" fontId="15" fillId="2" borderId="6" xfId="0" applyNumberFormat="1" applyFont="1" applyFill="1" applyBorder="1" applyAlignment="1">
      <alignment horizontal="right" shrinkToFi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15" fillId="0" borderId="0" xfId="0" applyNumberFormat="1" applyFont="1" applyAlignment="1">
      <alignment vertical="center" wrapText="1"/>
    </xf>
    <xf numFmtId="4" fontId="4" fillId="3" borderId="6" xfId="0" applyNumberFormat="1" applyFont="1" applyFill="1" applyBorder="1" applyAlignment="1">
      <alignment horizontal="right" vertical="center" shrinkToFit="1"/>
    </xf>
    <xf numFmtId="164" fontId="1" fillId="0" borderId="0" xfId="0" applyNumberFormat="1" applyFont="1" applyAlignment="1">
      <alignment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4" fontId="8" fillId="7" borderId="11" xfId="0" applyNumberFormat="1" applyFont="1" applyFill="1" applyBorder="1" applyAlignment="1">
      <alignment horizontal="right" vertical="center" shrinkToFit="1"/>
    </xf>
    <xf numFmtId="165" fontId="8" fillId="7" borderId="11" xfId="0" applyNumberFormat="1" applyFont="1" applyFill="1" applyBorder="1" applyAlignment="1">
      <alignment vertical="center" wrapText="1"/>
    </xf>
    <xf numFmtId="165" fontId="8" fillId="7" borderId="14" xfId="0" applyNumberFormat="1" applyFont="1" applyFill="1" applyBorder="1" applyAlignment="1">
      <alignment vertical="center" wrapText="1"/>
    </xf>
    <xf numFmtId="165" fontId="8" fillId="7" borderId="0" xfId="0" applyNumberFormat="1" applyFont="1" applyFill="1" applyBorder="1" applyAlignment="1">
      <alignment vertical="center" wrapText="1"/>
    </xf>
    <xf numFmtId="4" fontId="8" fillId="7" borderId="6" xfId="0" applyNumberFormat="1" applyFont="1" applyFill="1" applyBorder="1" applyAlignment="1">
      <alignment horizontal="right" vertical="center" shrinkToFit="1"/>
    </xf>
    <xf numFmtId="165" fontId="8" fillId="7" borderId="6" xfId="0" applyNumberFormat="1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shrinkToFit="1"/>
    </xf>
    <xf numFmtId="164" fontId="2" fillId="0" borderId="12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7" xfId="0" applyNumberFormat="1" applyFont="1" applyBorder="1" applyAlignment="1">
      <alignment vertical="center" shrinkToFit="1"/>
    </xf>
    <xf numFmtId="164" fontId="2" fillId="0" borderId="17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shrinkToFit="1"/>
    </xf>
    <xf numFmtId="165" fontId="2" fillId="0" borderId="0" xfId="0" applyNumberFormat="1" applyFont="1" applyBorder="1" applyAlignment="1">
      <alignment vertical="center" shrinkToFit="1"/>
    </xf>
    <xf numFmtId="164" fontId="15" fillId="0" borderId="0" xfId="0" applyNumberFormat="1" applyFont="1" applyFill="1" applyBorder="1" applyAlignment="1">
      <alignment vertical="center" shrinkToFit="1"/>
    </xf>
    <xf numFmtId="169" fontId="15" fillId="0" borderId="0" xfId="0" applyNumberFormat="1" applyFont="1" applyFill="1" applyBorder="1" applyAlignment="1">
      <alignment vertical="center" shrinkToFit="1"/>
    </xf>
    <xf numFmtId="165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4" fontId="8" fillId="9" borderId="6" xfId="0" applyNumberFormat="1" applyFont="1" applyFill="1" applyBorder="1" applyAlignment="1">
      <alignment horizontal="right" shrinkToFit="1"/>
    </xf>
    <xf numFmtId="165" fontId="8" fillId="8" borderId="6" xfId="0" applyNumberFormat="1" applyFont="1" applyFill="1" applyBorder="1" applyAlignment="1">
      <alignment vertical="center" wrapText="1"/>
    </xf>
    <xf numFmtId="165" fontId="8" fillId="8" borderId="10" xfId="0" applyNumberFormat="1" applyFont="1" applyFill="1" applyBorder="1" applyAlignment="1">
      <alignment vertical="center" wrapText="1"/>
    </xf>
    <xf numFmtId="165" fontId="8" fillId="8" borderId="0" xfId="0" applyNumberFormat="1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14" fillId="0" borderId="6" xfId="0" applyNumberFormat="1" applyFont="1" applyBorder="1" applyAlignment="1">
      <alignment vertical="center" wrapText="1"/>
    </xf>
    <xf numFmtId="165" fontId="14" fillId="0" borderId="10" xfId="0" applyNumberFormat="1" applyFont="1" applyBorder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164" fontId="4" fillId="2" borderId="6" xfId="0" applyNumberFormat="1" applyFont="1" applyFill="1" applyBorder="1" applyAlignment="1">
      <alignment vertical="center" shrinkToFit="1"/>
    </xf>
    <xf numFmtId="164" fontId="4" fillId="2" borderId="6" xfId="0" applyNumberFormat="1" applyFont="1" applyFill="1" applyBorder="1" applyAlignment="1">
      <alignment shrinkToFit="1"/>
    </xf>
    <xf numFmtId="0" fontId="1" fillId="0" borderId="5" xfId="0" applyFont="1" applyBorder="1" applyAlignment="1">
      <alignment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vertical="center" shrinkToFit="1"/>
    </xf>
    <xf numFmtId="4" fontId="8" fillId="3" borderId="6" xfId="0" applyNumberFormat="1" applyFont="1" applyFill="1" applyBorder="1" applyAlignment="1">
      <alignment horizontal="right" shrinkToFit="1"/>
    </xf>
    <xf numFmtId="4" fontId="4" fillId="3" borderId="6" xfId="0" applyNumberFormat="1" applyFont="1" applyFill="1" applyBorder="1" applyAlignment="1">
      <alignment horizontal="right" shrinkToFit="1"/>
    </xf>
    <xf numFmtId="0" fontId="8" fillId="7" borderId="5" xfId="0" applyFont="1" applyFill="1" applyBorder="1" applyAlignment="1">
      <alignment vertical="center" wrapText="1"/>
    </xf>
    <xf numFmtId="164" fontId="8" fillId="7" borderId="6" xfId="0" applyNumberFormat="1" applyFont="1" applyFill="1" applyBorder="1" applyAlignment="1">
      <alignment vertical="center" shrinkToFit="1"/>
    </xf>
    <xf numFmtId="165" fontId="8" fillId="7" borderId="10" xfId="0" applyNumberFormat="1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164" fontId="15" fillId="0" borderId="6" xfId="0" applyNumberFormat="1" applyFont="1" applyFill="1" applyBorder="1" applyAlignment="1">
      <alignment vertical="center" shrinkToFit="1"/>
    </xf>
    <xf numFmtId="165" fontId="2" fillId="0" borderId="6" xfId="0" applyNumberFormat="1" applyFont="1" applyFill="1" applyBorder="1" applyAlignment="1">
      <alignment vertical="center" wrapText="1"/>
    </xf>
    <xf numFmtId="165" fontId="15" fillId="0" borderId="6" xfId="0" applyNumberFormat="1" applyFont="1" applyFill="1" applyBorder="1" applyAlignment="1">
      <alignment vertical="center" wrapText="1"/>
    </xf>
    <xf numFmtId="165" fontId="15" fillId="0" borderId="10" xfId="0" applyNumberFormat="1" applyFont="1" applyFill="1" applyBorder="1" applyAlignment="1">
      <alignment vertical="center" wrapText="1"/>
    </xf>
    <xf numFmtId="165" fontId="15" fillId="0" borderId="0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shrinkToFit="1"/>
    </xf>
    <xf numFmtId="4" fontId="8" fillId="0" borderId="6" xfId="0" applyNumberFormat="1" applyFont="1" applyFill="1" applyBorder="1" applyAlignment="1">
      <alignment vertical="center" shrinkToFi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0" fontId="8" fillId="7" borderId="19" xfId="0" applyFont="1" applyFill="1" applyBorder="1" applyAlignment="1">
      <alignment vertical="center" wrapText="1"/>
    </xf>
    <xf numFmtId="164" fontId="8" fillId="7" borderId="20" xfId="0" applyNumberFormat="1" applyFont="1" applyFill="1" applyBorder="1" applyAlignment="1">
      <alignment vertical="center" shrinkToFit="1"/>
    </xf>
    <xf numFmtId="165" fontId="8" fillId="7" borderId="20" xfId="0" applyNumberFormat="1" applyFont="1" applyFill="1" applyBorder="1" applyAlignment="1">
      <alignment vertical="center" wrapText="1"/>
    </xf>
    <xf numFmtId="165" fontId="8" fillId="7" borderId="20" xfId="0" applyNumberFormat="1" applyFont="1" applyFill="1" applyBorder="1" applyAlignment="1">
      <alignment horizontal="center" vertical="center" wrapText="1"/>
    </xf>
    <xf numFmtId="165" fontId="8" fillId="7" borderId="21" xfId="0" applyNumberFormat="1" applyFont="1" applyFill="1" applyBorder="1" applyAlignment="1">
      <alignment horizontal="center" vertical="center" wrapText="1"/>
    </xf>
    <xf numFmtId="165" fontId="8" fillId="7" borderId="0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4" fontId="8" fillId="2" borderId="12" xfId="0" applyNumberFormat="1" applyFont="1" applyFill="1" applyBorder="1" applyAlignment="1">
      <alignment vertical="center" shrinkToFit="1"/>
    </xf>
    <xf numFmtId="164" fontId="8" fillId="9" borderId="12" xfId="0" applyNumberFormat="1" applyFont="1" applyFill="1" applyBorder="1" applyAlignment="1">
      <alignment vertical="center" shrinkToFit="1"/>
    </xf>
    <xf numFmtId="165" fontId="8" fillId="2" borderId="12" xfId="0" applyNumberFormat="1" applyFont="1" applyFill="1" applyBorder="1" applyAlignment="1">
      <alignment vertical="center" wrapText="1"/>
    </xf>
    <xf numFmtId="165" fontId="8" fillId="2" borderId="16" xfId="0" applyNumberFormat="1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164" fontId="8" fillId="2" borderId="11" xfId="0" applyNumberFormat="1" applyFont="1" applyFill="1" applyBorder="1" applyAlignment="1">
      <alignment vertical="center" shrinkToFit="1"/>
    </xf>
    <xf numFmtId="165" fontId="8" fillId="2" borderId="11" xfId="0" applyNumberFormat="1" applyFont="1" applyFill="1" applyBorder="1" applyAlignment="1">
      <alignment vertical="center" wrapText="1"/>
    </xf>
    <xf numFmtId="165" fontId="8" fillId="2" borderId="1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shrinkToFit="1"/>
    </xf>
    <xf numFmtId="164" fontId="8" fillId="9" borderId="0" xfId="0" applyNumberFormat="1" applyFont="1" applyFill="1" applyBorder="1" applyAlignment="1">
      <alignment vertical="center" shrinkToFit="1"/>
    </xf>
    <xf numFmtId="164" fontId="4" fillId="9" borderId="0" xfId="0" applyNumberFormat="1" applyFont="1" applyFill="1" applyBorder="1" applyAlignment="1">
      <alignment vertical="center" shrinkToFit="1"/>
    </xf>
    <xf numFmtId="0" fontId="4" fillId="0" borderId="19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shrinkToFit="1"/>
    </xf>
    <xf numFmtId="164" fontId="4" fillId="9" borderId="1" xfId="0" applyNumberFormat="1" applyFont="1" applyFill="1" applyBorder="1" applyAlignment="1">
      <alignment vertical="center" shrinkToFit="1"/>
    </xf>
    <xf numFmtId="165" fontId="4" fillId="0" borderId="20" xfId="0" applyNumberFormat="1" applyFont="1" applyBorder="1" applyAlignment="1">
      <alignment vertical="center" wrapText="1"/>
    </xf>
    <xf numFmtId="165" fontId="4" fillId="0" borderId="21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6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vertical="center" wrapText="1"/>
    </xf>
    <xf numFmtId="165" fontId="8" fillId="0" borderId="17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vertical="center" shrinkToFit="1"/>
    </xf>
    <xf numFmtId="164" fontId="8" fillId="0" borderId="6" xfId="0" applyNumberFormat="1" applyFont="1" applyFill="1" applyBorder="1" applyAlignment="1">
      <alignment vertical="center" shrinkToFit="1"/>
    </xf>
    <xf numFmtId="164" fontId="4" fillId="3" borderId="6" xfId="0" applyNumberFormat="1" applyFont="1" applyFill="1" applyBorder="1" applyAlignment="1">
      <alignment vertical="center" shrinkToFit="1"/>
    </xf>
    <xf numFmtId="164" fontId="17" fillId="0" borderId="6" xfId="0" applyNumberFormat="1" applyFont="1" applyFill="1" applyBorder="1" applyAlignment="1">
      <alignment horizontal="right" shrinkToFit="1"/>
    </xf>
    <xf numFmtId="164" fontId="4" fillId="10" borderId="6" xfId="0" applyNumberFormat="1" applyFont="1" applyFill="1" applyBorder="1" applyAlignment="1">
      <alignment vertical="center" shrinkToFit="1"/>
    </xf>
    <xf numFmtId="164" fontId="8" fillId="0" borderId="6" xfId="0" applyNumberFormat="1" applyFont="1" applyBorder="1" applyAlignment="1">
      <alignment vertical="center" shrinkToFit="1"/>
    </xf>
    <xf numFmtId="164" fontId="8" fillId="9" borderId="6" xfId="0" applyNumberFormat="1" applyFont="1" applyFill="1" applyBorder="1" applyAlignment="1">
      <alignment vertical="center" shrinkToFit="1"/>
    </xf>
    <xf numFmtId="164" fontId="4" fillId="3" borderId="20" xfId="0" applyNumberFormat="1" applyFont="1" applyFill="1" applyBorder="1" applyAlignment="1">
      <alignment vertical="center" shrinkToFit="1"/>
    </xf>
    <xf numFmtId="164" fontId="4" fillId="0" borderId="20" xfId="0" applyNumberFormat="1" applyFont="1" applyBorder="1" applyAlignment="1">
      <alignment vertical="center" shrinkToFit="1"/>
    </xf>
    <xf numFmtId="164" fontId="4" fillId="0" borderId="20" xfId="0" applyNumberFormat="1" applyFont="1" applyFill="1" applyBorder="1" applyAlignment="1">
      <alignment vertical="center" shrinkToFit="1"/>
    </xf>
    <xf numFmtId="4" fontId="13" fillId="6" borderId="6" xfId="0" applyNumberFormat="1" applyFont="1" applyFill="1" applyBorder="1" applyAlignment="1">
      <alignment horizontal="right" shrinkToFit="1"/>
    </xf>
    <xf numFmtId="165" fontId="15" fillId="0" borderId="0" xfId="0" applyNumberFormat="1" applyFont="1" applyBorder="1" applyAlignment="1">
      <alignment vertical="center" wrapText="1"/>
    </xf>
    <xf numFmtId="4" fontId="8" fillId="9" borderId="6" xfId="0" applyNumberFormat="1" applyFont="1" applyFill="1" applyBorder="1" applyAlignment="1">
      <alignment vertical="center" shrinkToFit="1"/>
    </xf>
    <xf numFmtId="0" fontId="16" fillId="0" borderId="5" xfId="0" applyFont="1" applyFill="1" applyBorder="1" applyAlignment="1">
      <alignment vertical="center" wrapText="1"/>
    </xf>
    <xf numFmtId="164" fontId="8" fillId="3" borderId="6" xfId="0" applyNumberFormat="1" applyFont="1" applyFill="1" applyBorder="1" applyAlignment="1">
      <alignment horizontal="right" vertical="center" shrinkToFit="1"/>
    </xf>
    <xf numFmtId="4" fontId="8" fillId="2" borderId="9" xfId="0" applyNumberFormat="1" applyFont="1" applyFill="1" applyBorder="1" applyAlignment="1">
      <alignment horizontal="right" shrinkToFit="1"/>
    </xf>
    <xf numFmtId="165" fontId="3" fillId="0" borderId="6" xfId="0" applyNumberFormat="1" applyFont="1" applyBorder="1" applyAlignment="1">
      <alignment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5" fontId="15" fillId="0" borderId="17" xfId="0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horizontal="left" vertical="center" shrinkToFit="1"/>
    </xf>
    <xf numFmtId="0" fontId="1" fillId="0" borderId="0" xfId="0" applyFont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7" borderId="0" xfId="0" applyNumberFormat="1" applyFont="1" applyFill="1" applyAlignment="1">
      <alignment vertical="center" shrinkToFit="1"/>
    </xf>
    <xf numFmtId="165" fontId="1" fillId="0" borderId="0" xfId="0" applyNumberFormat="1" applyFont="1" applyAlignment="1">
      <alignment vertical="center" shrinkToFit="1"/>
    </xf>
    <xf numFmtId="165" fontId="1" fillId="7" borderId="0" xfId="0" applyNumberFormat="1" applyFont="1" applyFill="1" applyAlignment="1">
      <alignment vertical="center" shrinkToFit="1"/>
    </xf>
    <xf numFmtId="164" fontId="1" fillId="0" borderId="0" xfId="0" applyNumberFormat="1" applyFont="1" applyAlignment="1">
      <alignment vertical="center" shrinkToFi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 shrinkToFit="1"/>
    </xf>
    <xf numFmtId="165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4" fontId="0" fillId="7" borderId="0" xfId="0" applyNumberFormat="1" applyFont="1" applyFill="1" applyAlignment="1">
      <alignment vertical="center" shrinkToFit="1"/>
    </xf>
    <xf numFmtId="165" fontId="0" fillId="0" borderId="0" xfId="0" applyNumberFormat="1" applyFont="1" applyAlignment="1">
      <alignment vertical="center" shrinkToFit="1"/>
    </xf>
    <xf numFmtId="170" fontId="0" fillId="8" borderId="0" xfId="0" applyNumberFormat="1" applyFont="1" applyFill="1" applyAlignment="1">
      <alignment vertical="center" shrinkToFit="1"/>
    </xf>
    <xf numFmtId="164" fontId="0" fillId="8" borderId="0" xfId="0" applyNumberFormat="1" applyFont="1" applyFill="1" applyAlignment="1">
      <alignment vertical="center" shrinkToFit="1"/>
    </xf>
    <xf numFmtId="165" fontId="0" fillId="7" borderId="0" xfId="0" applyNumberFormat="1" applyFont="1" applyFill="1" applyAlignment="1">
      <alignment vertical="center" shrinkToFit="1"/>
    </xf>
    <xf numFmtId="164" fontId="0" fillId="0" borderId="0" xfId="0" applyNumberFormat="1" applyFont="1" applyAlignment="1">
      <alignment vertical="center" shrinkToFi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165" fontId="1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center" vertical="center" wrapText="1"/>
    </xf>
    <xf numFmtId="165" fontId="0" fillId="0" borderId="6" xfId="0" applyNumberFormat="1" applyFont="1" applyFill="1" applyBorder="1" applyAlignment="1">
      <alignment vertical="center" wrapText="1"/>
    </xf>
    <xf numFmtId="165" fontId="0" fillId="0" borderId="10" xfId="0" applyNumberFormat="1" applyFont="1" applyFill="1" applyBorder="1" applyAlignment="1">
      <alignment vertical="center" wrapText="1"/>
    </xf>
    <xf numFmtId="165" fontId="8" fillId="7" borderId="12" xfId="0" applyNumberFormat="1" applyFont="1" applyFill="1" applyBorder="1" applyAlignment="1">
      <alignment vertical="center" wrapText="1"/>
    </xf>
    <xf numFmtId="4" fontId="8" fillId="7" borderId="20" xfId="0" applyNumberFormat="1" applyFont="1" applyFill="1" applyBorder="1" applyAlignment="1">
      <alignment horizontal="right" vertical="center" shrinkToFit="1"/>
    </xf>
    <xf numFmtId="165" fontId="8" fillId="7" borderId="21" xfId="0" applyNumberFormat="1" applyFont="1" applyFill="1" applyBorder="1" applyAlignment="1">
      <alignment vertical="center" wrapText="1"/>
    </xf>
    <xf numFmtId="0" fontId="3" fillId="5" borderId="19" xfId="0" applyFont="1" applyFill="1" applyBorder="1"/>
    <xf numFmtId="165" fontId="3" fillId="5" borderId="20" xfId="0" applyNumberFormat="1" applyFont="1" applyFill="1" applyBorder="1" applyAlignment="1">
      <alignment vertical="center" wrapText="1"/>
    </xf>
    <xf numFmtId="165" fontId="3" fillId="5" borderId="21" xfId="0" applyNumberFormat="1" applyFont="1" applyFill="1" applyBorder="1" applyAlignment="1">
      <alignment vertical="center" wrapText="1"/>
    </xf>
    <xf numFmtId="170" fontId="1" fillId="0" borderId="0" xfId="0" applyNumberFormat="1" applyFont="1" applyAlignment="1">
      <alignment vertical="center" wrapText="1"/>
    </xf>
    <xf numFmtId="0" fontId="0" fillId="0" borderId="22" xfId="0" applyFont="1" applyFill="1" applyBorder="1"/>
    <xf numFmtId="170" fontId="1" fillId="0" borderId="0" xfId="0" applyNumberFormat="1" applyFont="1" applyBorder="1" applyAlignment="1">
      <alignment vertical="center" wrapText="1"/>
    </xf>
    <xf numFmtId="165" fontId="3" fillId="0" borderId="6" xfId="0" applyNumberFormat="1" applyFont="1" applyFill="1" applyBorder="1" applyAlignment="1">
      <alignment vertical="center" wrapText="1"/>
    </xf>
    <xf numFmtId="0" fontId="3" fillId="5" borderId="19" xfId="0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1" fillId="6" borderId="6" xfId="0" applyNumberFormat="1" applyFont="1" applyFill="1" applyBorder="1" applyAlignment="1">
      <alignment vertical="center" wrapText="1"/>
    </xf>
    <xf numFmtId="165" fontId="3" fillId="5" borderId="0" xfId="0" applyNumberFormat="1" applyFont="1" applyFill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vertical="center" shrinkToFit="1"/>
    </xf>
    <xf numFmtId="170" fontId="3" fillId="7" borderId="0" xfId="0" applyNumberFormat="1" applyFont="1" applyFill="1" applyAlignment="1">
      <alignment vertical="center" shrinkToFit="1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" fillId="0" borderId="0" xfId="0" applyNumberFormat="1" applyFont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165" fontId="14" fillId="0" borderId="6" xfId="0" applyNumberFormat="1" applyFont="1" applyFill="1" applyBorder="1" applyAlignment="1">
      <alignment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165" fontId="8" fillId="5" borderId="6" xfId="0" applyNumberFormat="1" applyFont="1" applyFill="1" applyBorder="1" applyAlignment="1">
      <alignment vertical="center" wrapText="1"/>
    </xf>
    <xf numFmtId="165" fontId="8" fillId="5" borderId="10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 indent="1"/>
    </xf>
    <xf numFmtId="165" fontId="13" fillId="0" borderId="6" xfId="0" applyNumberFormat="1" applyFont="1" applyBorder="1" applyAlignment="1">
      <alignment vertical="center" wrapText="1"/>
    </xf>
    <xf numFmtId="165" fontId="13" fillId="0" borderId="10" xfId="0" applyNumberFormat="1" applyFont="1" applyBorder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2" fillId="0" borderId="5" xfId="0" applyFont="1" applyBorder="1" applyAlignment="1">
      <alignment horizontal="left" vertical="center" wrapText="1" indent="1"/>
    </xf>
    <xf numFmtId="165" fontId="2" fillId="0" borderId="10" xfId="0" applyNumberFormat="1" applyFont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5" fontId="0" fillId="0" borderId="0" xfId="0" applyNumberFormat="1" applyFont="1" applyAlignment="1">
      <alignment vertical="center" wrapText="1"/>
    </xf>
    <xf numFmtId="0" fontId="0" fillId="0" borderId="5" xfId="0" applyFont="1" applyBorder="1" applyAlignment="1">
      <alignment vertical="center" wrapText="1"/>
    </xf>
    <xf numFmtId="165" fontId="0" fillId="0" borderId="6" xfId="0" applyNumberFormat="1" applyFont="1" applyBorder="1" applyAlignment="1">
      <alignment vertical="center" wrapText="1"/>
    </xf>
    <xf numFmtId="165" fontId="0" fillId="0" borderId="10" xfId="0" applyNumberFormat="1" applyFont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165" fontId="3" fillId="5" borderId="6" xfId="0" applyNumberFormat="1" applyFont="1" applyFill="1" applyBorder="1" applyAlignment="1">
      <alignment vertical="center" wrapText="1"/>
    </xf>
    <xf numFmtId="165" fontId="3" fillId="5" borderId="10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165" fontId="0" fillId="0" borderId="6" xfId="0" applyNumberFormat="1" applyBorder="1" applyAlignment="1">
      <alignment vertical="center" wrapText="1"/>
    </xf>
    <xf numFmtId="165" fontId="0" fillId="0" borderId="0" xfId="0" applyNumberFormat="1" applyFill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3" fillId="7" borderId="5" xfId="0" applyFont="1" applyFill="1" applyBorder="1" applyAlignment="1">
      <alignment vertical="center" wrapText="1"/>
    </xf>
    <xf numFmtId="165" fontId="3" fillId="7" borderId="6" xfId="0" applyNumberFormat="1" applyFont="1" applyFill="1" applyBorder="1" applyAlignment="1">
      <alignment vertical="center" wrapText="1"/>
    </xf>
    <xf numFmtId="165" fontId="3" fillId="7" borderId="10" xfId="0" applyNumberFormat="1" applyFont="1" applyFill="1" applyBorder="1" applyAlignment="1">
      <alignment vertical="center" wrapText="1"/>
    </xf>
    <xf numFmtId="0" fontId="3" fillId="7" borderId="19" xfId="0" applyFont="1" applyFill="1" applyBorder="1" applyAlignment="1">
      <alignment vertical="center" wrapText="1"/>
    </xf>
    <xf numFmtId="165" fontId="3" fillId="7" borderId="20" xfId="0" applyNumberFormat="1" applyFont="1" applyFill="1" applyBorder="1" applyAlignment="1">
      <alignment vertical="center" wrapText="1"/>
    </xf>
    <xf numFmtId="165" fontId="3" fillId="7" borderId="21" xfId="0" applyNumberFormat="1" applyFont="1" applyFill="1" applyBorder="1" applyAlignment="1">
      <alignment vertical="center" wrapText="1"/>
    </xf>
    <xf numFmtId="171" fontId="8" fillId="7" borderId="6" xfId="0" applyNumberFormat="1" applyFont="1" applyFill="1" applyBorder="1" applyAlignment="1">
      <alignment horizontal="right" vertical="center" shrinkToFit="1"/>
    </xf>
    <xf numFmtId="171" fontId="8" fillId="7" borderId="20" xfId="0" applyNumberFormat="1" applyFont="1" applyFill="1" applyBorder="1" applyAlignment="1">
      <alignment horizontal="right"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3" fillId="7" borderId="0" xfId="0" applyNumberFormat="1" applyFont="1" applyFill="1" applyAlignment="1">
      <alignment vertical="center" wrapText="1"/>
    </xf>
    <xf numFmtId="165" fontId="0" fillId="0" borderId="10" xfId="0" applyNumberForma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4" fontId="13" fillId="2" borderId="6" xfId="0" applyNumberFormat="1" applyFont="1" applyFill="1" applyBorder="1" applyAlignment="1">
      <alignment vertical="center" shrinkToFit="1"/>
    </xf>
    <xf numFmtId="4" fontId="13" fillId="2" borderId="6" xfId="0" applyNumberFormat="1" applyFont="1" applyFill="1" applyBorder="1" applyAlignment="1">
      <alignment horizontal="center" vertical="center" shrinkToFit="1"/>
    </xf>
    <xf numFmtId="4" fontId="13" fillId="4" borderId="6" xfId="0" applyNumberFormat="1" applyFont="1" applyFill="1" applyBorder="1" applyAlignment="1">
      <alignment horizontal="center" vertical="center" shrinkToFit="1"/>
    </xf>
    <xf numFmtId="4" fontId="13" fillId="2" borderId="6" xfId="0" applyNumberFormat="1" applyFont="1" applyFill="1" applyBorder="1" applyAlignment="1">
      <alignment horizontal="right" shrinkToFit="1"/>
    </xf>
    <xf numFmtId="165" fontId="13" fillId="0" borderId="0" xfId="0" applyNumberFormat="1" applyFont="1" applyBorder="1" applyAlignment="1">
      <alignment vertical="center" wrapText="1"/>
    </xf>
    <xf numFmtId="4" fontId="13" fillId="4" borderId="6" xfId="0" applyNumberFormat="1" applyFont="1" applyFill="1" applyBorder="1" applyAlignment="1">
      <alignment vertical="center" shrinkToFit="1"/>
    </xf>
    <xf numFmtId="165" fontId="23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 applyAlignment="1">
      <alignment vertical="center" wrapText="1"/>
    </xf>
    <xf numFmtId="164" fontId="13" fillId="2" borderId="6" xfId="0" applyNumberFormat="1" applyFont="1" applyFill="1" applyBorder="1" applyAlignment="1">
      <alignment vertical="center" shrinkToFit="1"/>
    </xf>
    <xf numFmtId="165" fontId="1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64" fontId="2" fillId="2" borderId="6" xfId="0" applyNumberFormat="1" applyFont="1" applyFill="1" applyBorder="1" applyAlignment="1">
      <alignment shrinkToFit="1"/>
    </xf>
    <xf numFmtId="4" fontId="2" fillId="4" borderId="6" xfId="0" applyNumberFormat="1" applyFont="1" applyFill="1" applyBorder="1" applyAlignment="1">
      <alignment vertical="center" shrinkToFit="1"/>
    </xf>
    <xf numFmtId="165" fontId="15" fillId="0" borderId="6" xfId="0" applyNumberFormat="1" applyFont="1" applyBorder="1" applyAlignment="1">
      <alignment vertical="center" wrapText="1"/>
    </xf>
    <xf numFmtId="164" fontId="13" fillId="2" borderId="6" xfId="0" applyNumberFormat="1" applyFont="1" applyFill="1" applyBorder="1" applyAlignment="1">
      <alignment shrinkToFit="1"/>
    </xf>
    <xf numFmtId="165" fontId="23" fillId="0" borderId="10" xfId="0" applyNumberFormat="1" applyFont="1" applyBorder="1" applyAlignment="1">
      <alignment vertical="center" wrapText="1"/>
    </xf>
    <xf numFmtId="165" fontId="23" fillId="0" borderId="0" xfId="0" applyNumberFormat="1" applyFont="1" applyBorder="1" applyAlignment="1">
      <alignment vertical="center" wrapText="1"/>
    </xf>
    <xf numFmtId="164" fontId="0" fillId="2" borderId="6" xfId="0" applyNumberFormat="1" applyFont="1" applyFill="1" applyBorder="1" applyAlignment="1">
      <alignment shrinkToFit="1"/>
    </xf>
    <xf numFmtId="0" fontId="8" fillId="0" borderId="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 shrinkToFit="1"/>
    </xf>
    <xf numFmtId="164" fontId="4" fillId="0" borderId="6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4" fontId="8" fillId="8" borderId="6" xfId="0" applyNumberFormat="1" applyFont="1" applyFill="1" applyBorder="1" applyAlignment="1">
      <alignment horizontal="right" shrinkToFit="1"/>
    </xf>
    <xf numFmtId="4" fontId="4" fillId="4" borderId="6" xfId="0" applyNumberFormat="1" applyFont="1" applyFill="1" applyBorder="1" applyAlignment="1">
      <alignment horizontal="right" shrinkToFit="1"/>
    </xf>
    <xf numFmtId="4" fontId="23" fillId="2" borderId="6" xfId="0" applyNumberFormat="1" applyFont="1" applyFill="1" applyBorder="1" applyAlignment="1">
      <alignment horizontal="right" shrinkToFit="1"/>
    </xf>
    <xf numFmtId="4" fontId="13" fillId="5" borderId="6" xfId="0" applyNumberFormat="1" applyFont="1" applyFill="1" applyBorder="1" applyAlignment="1">
      <alignment horizontal="right" shrinkToFit="1"/>
    </xf>
    <xf numFmtId="164" fontId="13" fillId="5" borderId="6" xfId="0" applyNumberFormat="1" applyFont="1" applyFill="1" applyBorder="1" applyAlignment="1">
      <alignment vertical="center" shrinkToFit="1"/>
    </xf>
    <xf numFmtId="164" fontId="2" fillId="0" borderId="6" xfId="0" applyNumberFormat="1" applyFont="1" applyFill="1" applyBorder="1" applyAlignment="1">
      <alignment vertical="center" shrinkToFit="1"/>
    </xf>
    <xf numFmtId="165" fontId="2" fillId="0" borderId="10" xfId="0" applyNumberFormat="1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165" fontId="25" fillId="0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165" fontId="8" fillId="7" borderId="6" xfId="0" applyNumberFormat="1" applyFont="1" applyFill="1" applyBorder="1" applyAlignment="1">
      <alignment vertical="center" wrapText="1" shrinkToFit="1"/>
    </xf>
    <xf numFmtId="165" fontId="8" fillId="7" borderId="10" xfId="0" applyNumberFormat="1" applyFont="1" applyFill="1" applyBorder="1" applyAlignment="1">
      <alignment vertical="center" wrapText="1" shrinkToFit="1"/>
    </xf>
    <xf numFmtId="165" fontId="14" fillId="0" borderId="0" xfId="0" applyNumberFormat="1" applyFont="1" applyAlignment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165" fontId="13" fillId="0" borderId="0" xfId="0" applyNumberFormat="1" applyFont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vertical="center" shrinkToFit="1"/>
    </xf>
    <xf numFmtId="165" fontId="0" fillId="5" borderId="0" xfId="0" applyNumberFormat="1" applyFont="1" applyFill="1" applyAlignment="1">
      <alignment vertical="center" wrapText="1"/>
    </xf>
    <xf numFmtId="4" fontId="0" fillId="7" borderId="0" xfId="0" applyNumberFormat="1" applyFill="1" applyBorder="1" applyAlignment="1">
      <alignment shrinkToFit="1"/>
    </xf>
    <xf numFmtId="0" fontId="28" fillId="0" borderId="5" xfId="3" applyNumberFormat="1" applyFont="1" applyFill="1" applyBorder="1" applyAlignment="1">
      <alignment horizontal="center" vertical="center" wrapText="1"/>
    </xf>
    <xf numFmtId="0" fontId="28" fillId="0" borderId="6" xfId="3" applyNumberFormat="1" applyFont="1" applyFill="1" applyBorder="1" applyAlignment="1">
      <alignment horizontal="center" vertical="center" wrapText="1"/>
    </xf>
    <xf numFmtId="0" fontId="28" fillId="0" borderId="10" xfId="3" applyNumberFormat="1" applyFont="1" applyFill="1" applyBorder="1" applyAlignment="1">
      <alignment horizontal="center" vertical="center" wrapText="1"/>
    </xf>
    <xf numFmtId="174" fontId="0" fillId="0" borderId="0" xfId="0" applyNumberFormat="1" applyAlignment="1">
      <alignment vertical="center" wrapText="1"/>
    </xf>
    <xf numFmtId="173" fontId="1" fillId="0" borderId="0" xfId="3" applyNumberFormat="1" applyFont="1" applyFill="1" applyAlignment="1">
      <alignment vertical="top" wrapText="1"/>
    </xf>
    <xf numFmtId="165" fontId="1" fillId="0" borderId="0" xfId="3" applyNumberFormat="1" applyFont="1" applyFill="1" applyAlignment="1">
      <alignment vertical="center" wrapText="1"/>
    </xf>
    <xf numFmtId="175" fontId="1" fillId="0" borderId="0" xfId="3" applyNumberFormat="1" applyFont="1" applyFill="1" applyAlignment="1">
      <alignment vertical="top" wrapText="1"/>
    </xf>
    <xf numFmtId="0" fontId="27" fillId="0" borderId="0" xfId="3" applyNumberFormat="1" applyFont="1" applyFill="1" applyBorder="1" applyAlignment="1">
      <alignment horizontal="center" vertical="top" wrapText="1"/>
    </xf>
    <xf numFmtId="0" fontId="28" fillId="0" borderId="0" xfId="3" applyNumberFormat="1" applyFont="1" applyFill="1" applyBorder="1" applyAlignment="1">
      <alignment horizontal="center" vertical="top" wrapText="1"/>
    </xf>
    <xf numFmtId="173" fontId="1" fillId="0" borderId="0" xfId="3" applyNumberFormat="1" applyFont="1" applyFill="1" applyAlignment="1">
      <alignment horizontal="right" vertical="top"/>
    </xf>
    <xf numFmtId="49" fontId="8" fillId="0" borderId="6" xfId="3" applyNumberFormat="1" applyFont="1" applyFill="1" applyBorder="1" applyAlignment="1">
      <alignment horizontal="center" vertical="center" wrapText="1"/>
    </xf>
    <xf numFmtId="49" fontId="8" fillId="0" borderId="10" xfId="3" applyNumberFormat="1" applyFont="1" applyFill="1" applyBorder="1" applyAlignment="1">
      <alignment horizontal="center" vertical="center" wrapText="1"/>
    </xf>
    <xf numFmtId="0" fontId="28" fillId="0" borderId="5" xfId="3" applyNumberFormat="1" applyFont="1" applyFill="1" applyBorder="1" applyAlignment="1">
      <alignment vertical="center" wrapText="1"/>
    </xf>
    <xf numFmtId="171" fontId="28" fillId="0" borderId="6" xfId="3" applyNumberFormat="1" applyFont="1" applyFill="1" applyBorder="1" applyAlignment="1">
      <alignment horizontal="right" vertical="center" wrapText="1"/>
    </xf>
    <xf numFmtId="171" fontId="28" fillId="0" borderId="10" xfId="3" applyNumberFormat="1" applyFont="1" applyFill="1" applyBorder="1" applyAlignment="1">
      <alignment horizontal="right" vertical="center" wrapText="1"/>
    </xf>
    <xf numFmtId="0" fontId="17" fillId="0" borderId="5" xfId="3" applyNumberFormat="1" applyFont="1" applyFill="1" applyBorder="1" applyAlignment="1">
      <alignment vertical="center" wrapText="1"/>
    </xf>
    <xf numFmtId="171" fontId="17" fillId="0" borderId="6" xfId="3" applyNumberFormat="1" applyFont="1" applyFill="1" applyBorder="1" applyAlignment="1">
      <alignment horizontal="right" vertical="center" wrapText="1"/>
    </xf>
    <xf numFmtId="171" fontId="17" fillId="0" borderId="10" xfId="3" applyNumberFormat="1" applyFont="1" applyFill="1" applyBorder="1" applyAlignment="1">
      <alignment horizontal="right" vertical="center" wrapText="1"/>
    </xf>
    <xf numFmtId="0" fontId="29" fillId="0" borderId="5" xfId="3" applyNumberFormat="1" applyFont="1" applyFill="1" applyBorder="1" applyAlignment="1">
      <alignment vertical="top" wrapText="1"/>
    </xf>
    <xf numFmtId="171" fontId="28" fillId="0" borderId="6" xfId="3" applyNumberFormat="1" applyFont="1" applyFill="1" applyBorder="1" applyAlignment="1">
      <alignment horizontal="right" vertical="top" wrapText="1"/>
    </xf>
    <xf numFmtId="0" fontId="29" fillId="0" borderId="5" xfId="3" applyNumberFormat="1" applyFont="1" applyFill="1" applyBorder="1" applyAlignment="1">
      <alignment vertical="center" wrapText="1"/>
    </xf>
    <xf numFmtId="0" fontId="1" fillId="0" borderId="5" xfId="3" applyNumberFormat="1" applyFont="1" applyFill="1" applyBorder="1" applyAlignment="1">
      <alignment vertical="center" wrapText="1"/>
    </xf>
    <xf numFmtId="171" fontId="1" fillId="0" borderId="6" xfId="3" applyNumberFormat="1" applyFont="1" applyFill="1" applyBorder="1" applyAlignment="1">
      <alignment horizontal="right" vertical="center" wrapText="1"/>
    </xf>
    <xf numFmtId="0" fontId="30" fillId="0" borderId="5" xfId="3" applyNumberFormat="1" applyFont="1" applyFill="1" applyBorder="1" applyAlignment="1">
      <alignment vertical="center" wrapText="1"/>
    </xf>
    <xf numFmtId="0" fontId="28" fillId="0" borderId="5" xfId="4" applyNumberFormat="1" applyFont="1" applyBorder="1" applyProtection="1">
      <alignment horizontal="left" vertical="top" wrapText="1"/>
      <protection locked="0"/>
    </xf>
    <xf numFmtId="0" fontId="17" fillId="0" borderId="5" xfId="4" applyNumberFormat="1" applyFont="1" applyBorder="1" applyProtection="1">
      <alignment horizontal="left" vertical="top" wrapText="1"/>
      <protection locked="0"/>
    </xf>
    <xf numFmtId="0" fontId="28" fillId="0" borderId="19" xfId="3" applyNumberFormat="1" applyFont="1" applyFill="1" applyBorder="1" applyAlignment="1">
      <alignment vertical="center" wrapText="1"/>
    </xf>
    <xf numFmtId="171" fontId="28" fillId="0" borderId="20" xfId="3" applyNumberFormat="1" applyFont="1" applyFill="1" applyBorder="1" applyAlignment="1">
      <alignment horizontal="right" vertical="center" wrapText="1"/>
    </xf>
    <xf numFmtId="171" fontId="28" fillId="0" borderId="21" xfId="3" applyNumberFormat="1" applyFont="1" applyFill="1" applyBorder="1" applyAlignment="1">
      <alignment horizontal="right" vertical="center" wrapText="1"/>
    </xf>
    <xf numFmtId="0" fontId="1" fillId="12" borderId="0" xfId="0" applyFont="1" applyFill="1" applyAlignment="1">
      <alignment horizontal="center"/>
    </xf>
    <xf numFmtId="0" fontId="1" fillId="12" borderId="0" xfId="0" applyFont="1" applyFill="1" applyAlignment="1">
      <alignment horizontal="center" wrapText="1"/>
    </xf>
    <xf numFmtId="173" fontId="1" fillId="0" borderId="0" xfId="5" applyNumberFormat="1" applyFont="1" applyFill="1" applyAlignment="1">
      <alignment horizontal="right" vertical="top"/>
    </xf>
    <xf numFmtId="0" fontId="1" fillId="0" borderId="0" xfId="0" applyFont="1" applyFill="1" applyAlignment="1">
      <alignment horizontal="center"/>
    </xf>
    <xf numFmtId="176" fontId="4" fillId="12" borderId="6" xfId="6" applyNumberFormat="1" applyFont="1" applyFill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wrapText="1"/>
    </xf>
    <xf numFmtId="0" fontId="1" fillId="12" borderId="0" xfId="0" applyFont="1" applyFill="1" applyBorder="1" applyAlignment="1">
      <alignment wrapText="1"/>
    </xf>
    <xf numFmtId="0" fontId="1" fillId="12" borderId="6" xfId="0" applyFont="1" applyFill="1" applyBorder="1" applyAlignment="1">
      <alignment horizontal="center"/>
    </xf>
    <xf numFmtId="4" fontId="1" fillId="12" borderId="6" xfId="0" applyNumberFormat="1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 wrapText="1"/>
    </xf>
    <xf numFmtId="171" fontId="1" fillId="12" borderId="6" xfId="0" applyNumberFormat="1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 vertical="top"/>
    </xf>
    <xf numFmtId="0" fontId="1" fillId="12" borderId="6" xfId="0" applyFont="1" applyFill="1" applyBorder="1" applyAlignment="1">
      <alignment horizontal="left" vertical="top" wrapText="1"/>
    </xf>
    <xf numFmtId="171" fontId="1" fillId="12" borderId="6" xfId="0" applyNumberFormat="1" applyFont="1" applyFill="1" applyBorder="1" applyAlignment="1">
      <alignment horizontal="left" vertical="top"/>
    </xf>
    <xf numFmtId="4" fontId="1" fillId="12" borderId="6" xfId="0" applyNumberFormat="1" applyFont="1" applyFill="1" applyBorder="1" applyAlignment="1">
      <alignment horizontal="center" vertical="top"/>
    </xf>
    <xf numFmtId="0" fontId="1" fillId="12" borderId="6" xfId="0" applyFont="1" applyFill="1" applyBorder="1" applyAlignment="1">
      <alignment horizontal="center" vertical="top" wrapText="1"/>
    </xf>
    <xf numFmtId="0" fontId="1" fillId="12" borderId="6" xfId="0" applyFont="1" applyFill="1" applyBorder="1" applyAlignment="1">
      <alignment vertical="top"/>
    </xf>
    <xf numFmtId="0" fontId="1" fillId="12" borderId="6" xfId="0" applyFont="1" applyFill="1" applyBorder="1" applyAlignment="1">
      <alignment horizontal="left" vertical="top"/>
    </xf>
    <xf numFmtId="4" fontId="1" fillId="12" borderId="6" xfId="0" applyNumberFormat="1" applyFont="1" applyFill="1" applyBorder="1" applyAlignment="1">
      <alignment horizontal="left" vertical="top"/>
    </xf>
    <xf numFmtId="0" fontId="1" fillId="12" borderId="5" xfId="0" applyFont="1" applyFill="1" applyBorder="1" applyAlignment="1">
      <alignment horizontal="center" vertical="top"/>
    </xf>
    <xf numFmtId="0" fontId="0" fillId="12" borderId="10" xfId="0" applyFont="1" applyFill="1" applyBorder="1" applyAlignment="1">
      <alignment horizontal="left" vertical="top" wrapText="1"/>
    </xf>
    <xf numFmtId="0" fontId="1" fillId="12" borderId="10" xfId="0" applyFont="1" applyFill="1" applyBorder="1" applyAlignment="1">
      <alignment horizontal="left" vertical="top" wrapText="1"/>
    </xf>
    <xf numFmtId="0" fontId="1" fillId="12" borderId="5" xfId="0" applyFont="1" applyFill="1" applyBorder="1" applyAlignment="1">
      <alignment horizontal="center"/>
    </xf>
    <xf numFmtId="0" fontId="1" fillId="12" borderId="10" xfId="0" applyFont="1" applyFill="1" applyBorder="1" applyAlignment="1">
      <alignment horizontal="center" wrapText="1"/>
    </xf>
    <xf numFmtId="0" fontId="1" fillId="12" borderId="5" xfId="0" applyFont="1" applyFill="1" applyBorder="1" applyAlignment="1">
      <alignment vertical="top"/>
    </xf>
    <xf numFmtId="0" fontId="3" fillId="12" borderId="10" xfId="0" applyFont="1" applyFill="1" applyBorder="1" applyAlignment="1">
      <alignment horizontal="left" vertical="top" wrapText="1"/>
    </xf>
    <xf numFmtId="0" fontId="3" fillId="12" borderId="10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left" vertical="top"/>
    </xf>
    <xf numFmtId="0" fontId="1" fillId="12" borderId="19" xfId="0" applyFont="1" applyFill="1" applyBorder="1" applyAlignment="1">
      <alignment horizontal="center" vertical="top"/>
    </xf>
    <xf numFmtId="0" fontId="1" fillId="12" borderId="20" xfId="0" applyFont="1" applyFill="1" applyBorder="1" applyAlignment="1">
      <alignment horizontal="left" vertical="top" wrapText="1"/>
    </xf>
    <xf numFmtId="171" fontId="1" fillId="12" borderId="20" xfId="0" applyNumberFormat="1" applyFont="1" applyFill="1" applyBorder="1" applyAlignment="1">
      <alignment horizontal="left" vertical="top"/>
    </xf>
    <xf numFmtId="0" fontId="1" fillId="12" borderId="20" xfId="0" applyFont="1" applyFill="1" applyBorder="1" applyAlignment="1">
      <alignment horizontal="center" vertical="top"/>
    </xf>
    <xf numFmtId="0" fontId="0" fillId="12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173" fontId="0" fillId="0" borderId="0" xfId="3" applyNumberFormat="1" applyFont="1" applyFill="1" applyAlignment="1">
      <alignment horizontal="right" vertical="top"/>
    </xf>
    <xf numFmtId="173" fontId="0" fillId="0" borderId="0" xfId="5" applyNumberFormat="1" applyFont="1" applyFill="1" applyAlignment="1">
      <alignment horizontal="right" vertical="top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27" fillId="0" borderId="0" xfId="3" applyNumberFormat="1" applyFont="1" applyFill="1" applyBorder="1" applyAlignment="1">
      <alignment horizontal="center" vertical="top" wrapText="1"/>
    </xf>
    <xf numFmtId="0" fontId="3" fillId="0" borderId="2" xfId="3" applyNumberFormat="1" applyFont="1" applyFill="1" applyBorder="1" applyAlignment="1">
      <alignment horizontal="center" vertical="center" wrapText="1"/>
    </xf>
    <xf numFmtId="173" fontId="3" fillId="0" borderId="5" xfId="3" applyNumberFormat="1" applyFont="1" applyFill="1" applyBorder="1" applyAlignment="1">
      <alignment horizontal="center" vertical="top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3" fillId="0" borderId="6" xfId="3" applyNumberFormat="1" applyFont="1" applyFill="1" applyBorder="1" applyAlignment="1">
      <alignment horizontal="center" vertical="center" wrapText="1"/>
    </xf>
    <xf numFmtId="0" fontId="3" fillId="0" borderId="4" xfId="3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9" fontId="4" fillId="12" borderId="2" xfId="6" applyNumberFormat="1" applyFont="1" applyFill="1" applyBorder="1" applyAlignment="1">
      <alignment horizontal="center" vertical="center" wrapText="1"/>
    </xf>
    <xf numFmtId="49" fontId="4" fillId="12" borderId="5" xfId="6" applyNumberFormat="1" applyFont="1" applyFill="1" applyBorder="1" applyAlignment="1">
      <alignment horizontal="center" vertical="center" wrapText="1"/>
    </xf>
    <xf numFmtId="11" fontId="4" fillId="12" borderId="3" xfId="6" applyNumberFormat="1" applyFont="1" applyFill="1" applyBorder="1" applyAlignment="1">
      <alignment horizontal="center" vertical="center" wrapText="1"/>
    </xf>
    <xf numFmtId="11" fontId="4" fillId="12" borderId="6" xfId="6" applyNumberFormat="1" applyFont="1" applyFill="1" applyBorder="1" applyAlignment="1">
      <alignment horizontal="center" vertical="center" wrapText="1"/>
    </xf>
    <xf numFmtId="0" fontId="4" fillId="12" borderId="3" xfId="6" applyFont="1" applyFill="1" applyBorder="1" applyAlignment="1">
      <alignment horizontal="center" vertical="center" wrapText="1"/>
    </xf>
    <xf numFmtId="0" fontId="4" fillId="12" borderId="6" xfId="6" applyFont="1" applyFill="1" applyBorder="1" applyAlignment="1">
      <alignment horizontal="center" vertical="center" wrapText="1"/>
    </xf>
    <xf numFmtId="176" fontId="4" fillId="12" borderId="3" xfId="6" applyNumberFormat="1" applyFont="1" applyFill="1" applyBorder="1" applyAlignment="1">
      <alignment horizontal="center" vertical="center" wrapText="1"/>
    </xf>
    <xf numFmtId="176" fontId="4" fillId="12" borderId="6" xfId="6" applyNumberFormat="1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3" fillId="12" borderId="5" xfId="0" applyFont="1" applyFill="1" applyBorder="1" applyAlignment="1">
      <alignment horizontal="left"/>
    </xf>
    <xf numFmtId="0" fontId="3" fillId="12" borderId="6" xfId="0" applyFont="1" applyFill="1" applyBorder="1" applyAlignment="1">
      <alignment horizontal="left"/>
    </xf>
    <xf numFmtId="0" fontId="3" fillId="12" borderId="10" xfId="0" applyFont="1" applyFill="1" applyBorder="1" applyAlignment="1">
      <alignment horizontal="left"/>
    </xf>
    <xf numFmtId="0" fontId="3" fillId="12" borderId="5" xfId="0" applyFont="1" applyFill="1" applyBorder="1" applyAlignment="1">
      <alignment horizontal="left" wrapText="1"/>
    </xf>
    <xf numFmtId="0" fontId="3" fillId="12" borderId="6" xfId="0" applyFont="1" applyFill="1" applyBorder="1" applyAlignment="1">
      <alignment horizontal="left" wrapText="1"/>
    </xf>
    <xf numFmtId="0" fontId="3" fillId="12" borderId="10" xfId="0" applyFont="1" applyFill="1" applyBorder="1" applyAlignment="1">
      <alignment horizontal="left" wrapText="1"/>
    </xf>
    <xf numFmtId="0" fontId="32" fillId="12" borderId="5" xfId="0" applyFont="1" applyFill="1" applyBorder="1" applyAlignment="1">
      <alignment horizontal="left" wrapText="1"/>
    </xf>
    <xf numFmtId="0" fontId="32" fillId="12" borderId="6" xfId="0" applyFont="1" applyFill="1" applyBorder="1" applyAlignment="1">
      <alignment horizontal="left" wrapText="1"/>
    </xf>
    <xf numFmtId="0" fontId="32" fillId="12" borderId="10" xfId="0" applyFont="1" applyFill="1" applyBorder="1" applyAlignment="1">
      <alignment horizontal="left" wrapText="1"/>
    </xf>
    <xf numFmtId="0" fontId="32" fillId="12" borderId="6" xfId="0" applyFont="1" applyFill="1" applyBorder="1" applyAlignment="1">
      <alignment horizontal="left"/>
    </xf>
    <xf numFmtId="0" fontId="32" fillId="12" borderId="10" xfId="0" applyFont="1" applyFill="1" applyBorder="1" applyAlignment="1">
      <alignment horizontal="left"/>
    </xf>
    <xf numFmtId="0" fontId="32" fillId="12" borderId="5" xfId="0" applyFont="1" applyFill="1" applyBorder="1" applyAlignment="1"/>
    <xf numFmtId="0" fontId="32" fillId="12" borderId="6" xfId="0" applyFont="1" applyFill="1" applyBorder="1" applyAlignment="1"/>
    <xf numFmtId="0" fontId="32" fillId="12" borderId="10" xfId="0" applyFont="1" applyFill="1" applyBorder="1" applyAlignment="1"/>
    <xf numFmtId="0" fontId="32" fillId="12" borderId="5" xfId="0" applyFont="1" applyFill="1" applyBorder="1" applyAlignment="1">
      <alignment horizontal="left"/>
    </xf>
    <xf numFmtId="0" fontId="1" fillId="12" borderId="10" xfId="0" applyFont="1" applyFill="1" applyBorder="1" applyAlignment="1">
      <alignment horizontal="left" vertical="top" wrapText="1"/>
    </xf>
    <xf numFmtId="0" fontId="1" fillId="12" borderId="1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12" borderId="2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right" wrapText="1"/>
    </xf>
    <xf numFmtId="165" fontId="3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0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</cellXfs>
  <cellStyles count="7">
    <cellStyle name="xl105" xfId="1"/>
    <cellStyle name="xl32" xfId="4"/>
    <cellStyle name="xl81" xfId="2"/>
    <cellStyle name="Обычный" xfId="0" builtinId="0"/>
    <cellStyle name="Обычный 2" xfId="3"/>
    <cellStyle name="Обычный 2 2" xfId="5"/>
    <cellStyle name="Обычный 3" xfId="6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3"/>
  <sheetViews>
    <sheetView zoomScale="115" zoomScaleNormal="115" zoomScaleSheetLayoutView="85" workbookViewId="0">
      <pane xSplit="1" ySplit="8" topLeftCell="B157" activePane="bottomRight" state="frozen"/>
      <selection activeCell="B20" sqref="B20"/>
      <selection pane="topRight" activeCell="B20" sqref="B20"/>
      <selection pane="bottomLeft" activeCell="B20" sqref="B20"/>
      <selection pane="bottomRight" activeCell="A159" sqref="A159"/>
    </sheetView>
  </sheetViews>
  <sheetFormatPr defaultColWidth="9.44140625" defaultRowHeight="13.2" x14ac:dyDescent="0.25"/>
  <cols>
    <col min="1" max="1" width="48" style="1" customWidth="1"/>
    <col min="2" max="2" width="12.33203125" style="2" hidden="1" customWidth="1"/>
    <col min="3" max="3" width="11.6640625" style="2" hidden="1" customWidth="1"/>
    <col min="4" max="4" width="13" style="2" hidden="1" customWidth="1"/>
    <col min="5" max="5" width="17.5546875" style="2" hidden="1" customWidth="1"/>
    <col min="6" max="8" width="9.44140625" style="2" hidden="1" customWidth="1"/>
    <col min="9" max="9" width="11.33203125" style="2" hidden="1" customWidth="1"/>
    <col min="10" max="10" width="11.44140625" style="2" hidden="1" customWidth="1"/>
    <col min="11" max="11" width="13.5546875" style="2" hidden="1" customWidth="1"/>
    <col min="12" max="12" width="16.88671875" style="2" hidden="1" customWidth="1"/>
    <col min="13" max="13" width="10.5546875" style="2" hidden="1" customWidth="1"/>
    <col min="14" max="15" width="9.44140625" style="2" hidden="1" customWidth="1"/>
    <col min="16" max="16" width="9.5546875" style="3" customWidth="1"/>
    <col min="17" max="17" width="10" style="3" bestFit="1" customWidth="1"/>
    <col min="18" max="18" width="9.5546875" style="3" customWidth="1"/>
    <col min="19" max="20" width="8.88671875" style="3" customWidth="1"/>
    <col min="21" max="21" width="8.33203125" style="3" customWidth="1"/>
    <col min="22" max="22" width="10.44140625" style="3" bestFit="1" customWidth="1"/>
    <col min="23" max="23" width="9.44140625" style="3"/>
    <col min="24" max="24" width="9.6640625" style="3" customWidth="1"/>
    <col min="25" max="25" width="9.109375" style="3" customWidth="1"/>
    <col min="26" max="26" width="8.6640625" style="3" customWidth="1"/>
    <col min="27" max="27" width="8.33203125" style="3" customWidth="1"/>
    <col min="28" max="29" width="9.6640625" style="3" customWidth="1"/>
    <col min="30" max="30" width="9.5546875" style="3" customWidth="1"/>
    <col min="31" max="31" width="7.6640625" style="3" customWidth="1"/>
    <col min="32" max="32" width="7.88671875" style="3" customWidth="1"/>
    <col min="33" max="33" width="8.5546875" style="3" customWidth="1"/>
    <col min="34" max="34" width="11.88671875" style="3" bestFit="1" customWidth="1"/>
    <col min="35" max="35" width="16.33203125" style="3" hidden="1" customWidth="1"/>
    <col min="36" max="36" width="16.44140625" style="3" hidden="1" customWidth="1"/>
    <col min="37" max="37" width="17" style="3" hidden="1" customWidth="1"/>
    <col min="38" max="16384" width="9.44140625" style="3"/>
  </cols>
  <sheetData>
    <row r="1" spans="1:38" x14ac:dyDescent="0.25">
      <c r="AD1" s="448" t="s">
        <v>230</v>
      </c>
      <c r="AE1" s="448"/>
      <c r="AF1" s="448"/>
      <c r="AG1" s="448"/>
    </row>
    <row r="2" spans="1:38" ht="29.25" customHeight="1" x14ac:dyDescent="0.25">
      <c r="A2" s="449" t="s">
        <v>376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9"/>
      <c r="AG2" s="449"/>
      <c r="AH2" s="4"/>
    </row>
    <row r="3" spans="1:38" ht="13.8" thickBot="1" x14ac:dyDescent="0.3">
      <c r="M3" s="5">
        <f>M27+N27+O27-L27</f>
        <v>0</v>
      </c>
      <c r="P3" s="6"/>
      <c r="Q3" s="6"/>
      <c r="R3" s="6"/>
      <c r="S3" s="7"/>
      <c r="T3" s="7"/>
      <c r="U3" s="7"/>
      <c r="V3" s="6"/>
      <c r="W3" s="6"/>
      <c r="X3" s="6"/>
      <c r="AB3" s="8"/>
      <c r="AC3" s="9"/>
      <c r="AD3" s="8"/>
      <c r="AJ3" s="7">
        <f>X3-R3</f>
        <v>0</v>
      </c>
    </row>
    <row r="4" spans="1:38" s="1" customFormat="1" ht="13.95" customHeight="1" thickTop="1" x14ac:dyDescent="0.25">
      <c r="A4" s="450" t="s">
        <v>0</v>
      </c>
      <c r="B4" s="452" t="s">
        <v>129</v>
      </c>
      <c r="C4" s="452"/>
      <c r="D4" s="452"/>
      <c r="E4" s="452"/>
      <c r="F4" s="452"/>
      <c r="G4" s="452"/>
      <c r="H4" s="452"/>
      <c r="I4" s="452" t="s">
        <v>374</v>
      </c>
      <c r="J4" s="452"/>
      <c r="K4" s="452"/>
      <c r="L4" s="452"/>
      <c r="M4" s="452"/>
      <c r="N4" s="452"/>
      <c r="O4" s="452"/>
      <c r="P4" s="452" t="s">
        <v>130</v>
      </c>
      <c r="Q4" s="452"/>
      <c r="R4" s="452"/>
      <c r="S4" s="452"/>
      <c r="T4" s="452"/>
      <c r="U4" s="452"/>
      <c r="V4" s="452" t="s">
        <v>375</v>
      </c>
      <c r="W4" s="452"/>
      <c r="X4" s="452"/>
      <c r="Y4" s="452"/>
      <c r="Z4" s="452"/>
      <c r="AA4" s="452"/>
      <c r="AB4" s="452" t="s">
        <v>1</v>
      </c>
      <c r="AC4" s="452"/>
      <c r="AD4" s="452"/>
      <c r="AE4" s="452"/>
      <c r="AF4" s="452"/>
      <c r="AG4" s="453"/>
      <c r="AH4" s="10"/>
    </row>
    <row r="5" spans="1:38" s="1" customFormat="1" x14ac:dyDescent="0.25">
      <c r="A5" s="451"/>
      <c r="B5" s="444" t="s">
        <v>2</v>
      </c>
      <c r="C5" s="454" t="s">
        <v>3</v>
      </c>
      <c r="D5" s="455"/>
      <c r="E5" s="455"/>
      <c r="F5" s="455"/>
      <c r="G5" s="455"/>
      <c r="H5" s="456"/>
      <c r="I5" s="444" t="s">
        <v>2</v>
      </c>
      <c r="J5" s="11"/>
      <c r="K5" s="445" t="s">
        <v>3</v>
      </c>
      <c r="L5" s="445"/>
      <c r="M5" s="445"/>
      <c r="N5" s="445"/>
      <c r="O5" s="445"/>
      <c r="P5" s="444" t="s">
        <v>2</v>
      </c>
      <c r="Q5" s="445" t="s">
        <v>4</v>
      </c>
      <c r="R5" s="445"/>
      <c r="S5" s="445"/>
      <c r="T5" s="445"/>
      <c r="U5" s="445"/>
      <c r="V5" s="444" t="s">
        <v>2</v>
      </c>
      <c r="W5" s="445" t="s">
        <v>4</v>
      </c>
      <c r="X5" s="445"/>
      <c r="Y5" s="445"/>
      <c r="Z5" s="445"/>
      <c r="AA5" s="445"/>
      <c r="AB5" s="446" t="s">
        <v>2</v>
      </c>
      <c r="AC5" s="445" t="s">
        <v>4</v>
      </c>
      <c r="AD5" s="445"/>
      <c r="AE5" s="445"/>
      <c r="AF5" s="445"/>
      <c r="AG5" s="459"/>
      <c r="AH5" s="10"/>
    </row>
    <row r="6" spans="1:38" s="1" customFormat="1" ht="13.2" customHeight="1" x14ac:dyDescent="0.25">
      <c r="A6" s="451"/>
      <c r="B6" s="444"/>
      <c r="C6" s="460" t="s">
        <v>5</v>
      </c>
      <c r="D6" s="444" t="s">
        <v>6</v>
      </c>
      <c r="E6" s="444" t="s">
        <v>7</v>
      </c>
      <c r="F6" s="447" t="s">
        <v>8</v>
      </c>
      <c r="G6" s="447"/>
      <c r="H6" s="447"/>
      <c r="I6" s="444"/>
      <c r="J6" s="460" t="s">
        <v>5</v>
      </c>
      <c r="K6" s="444" t="s">
        <v>6</v>
      </c>
      <c r="L6" s="444" t="s">
        <v>7</v>
      </c>
      <c r="M6" s="447" t="s">
        <v>8</v>
      </c>
      <c r="N6" s="447"/>
      <c r="O6" s="447"/>
      <c r="P6" s="444"/>
      <c r="Q6" s="444" t="s">
        <v>6</v>
      </c>
      <c r="R6" s="446" t="s">
        <v>7</v>
      </c>
      <c r="S6" s="447" t="s">
        <v>8</v>
      </c>
      <c r="T6" s="447"/>
      <c r="U6" s="447"/>
      <c r="V6" s="444"/>
      <c r="W6" s="444" t="s">
        <v>6</v>
      </c>
      <c r="X6" s="446" t="s">
        <v>7</v>
      </c>
      <c r="Y6" s="447" t="s">
        <v>8</v>
      </c>
      <c r="Z6" s="447"/>
      <c r="AA6" s="447"/>
      <c r="AB6" s="446"/>
      <c r="AC6" s="446" t="s">
        <v>6</v>
      </c>
      <c r="AD6" s="446" t="s">
        <v>7</v>
      </c>
      <c r="AE6" s="457" t="s">
        <v>8</v>
      </c>
      <c r="AF6" s="457"/>
      <c r="AG6" s="458"/>
      <c r="AH6" s="12"/>
    </row>
    <row r="7" spans="1:38" s="1" customFormat="1" ht="45.6" customHeight="1" x14ac:dyDescent="0.25">
      <c r="A7" s="451"/>
      <c r="B7" s="444"/>
      <c r="C7" s="461"/>
      <c r="D7" s="444"/>
      <c r="E7" s="444"/>
      <c r="F7" s="13" t="s">
        <v>9</v>
      </c>
      <c r="G7" s="13" t="s">
        <v>10</v>
      </c>
      <c r="H7" s="13" t="s">
        <v>11</v>
      </c>
      <c r="I7" s="444"/>
      <c r="J7" s="461"/>
      <c r="K7" s="444"/>
      <c r="L7" s="444"/>
      <c r="M7" s="13" t="s">
        <v>9</v>
      </c>
      <c r="N7" s="13" t="s">
        <v>10</v>
      </c>
      <c r="O7" s="13" t="s">
        <v>11</v>
      </c>
      <c r="P7" s="444"/>
      <c r="Q7" s="444"/>
      <c r="R7" s="446"/>
      <c r="S7" s="13" t="s">
        <v>9</v>
      </c>
      <c r="T7" s="13" t="s">
        <v>10</v>
      </c>
      <c r="U7" s="13" t="s">
        <v>11</v>
      </c>
      <c r="V7" s="444"/>
      <c r="W7" s="444"/>
      <c r="X7" s="446"/>
      <c r="Y7" s="13" t="s">
        <v>9</v>
      </c>
      <c r="Z7" s="13" t="s">
        <v>10</v>
      </c>
      <c r="AA7" s="13" t="s">
        <v>11</v>
      </c>
      <c r="AB7" s="446"/>
      <c r="AC7" s="446"/>
      <c r="AD7" s="446"/>
      <c r="AE7" s="14" t="s">
        <v>9</v>
      </c>
      <c r="AF7" s="14" t="s">
        <v>10</v>
      </c>
      <c r="AG7" s="15" t="s">
        <v>12</v>
      </c>
      <c r="AH7" s="16"/>
    </row>
    <row r="8" spans="1:38" s="23" customFormat="1" ht="10.199999999999999" x14ac:dyDescent="0.25">
      <c r="A8" s="17" t="s">
        <v>13</v>
      </c>
      <c r="B8" s="18"/>
      <c r="C8" s="18"/>
      <c r="D8" s="19"/>
      <c r="E8" s="18"/>
      <c r="F8" s="20"/>
      <c r="G8" s="20"/>
      <c r="H8" s="20"/>
      <c r="I8" s="18"/>
      <c r="J8" s="18"/>
      <c r="K8" s="18"/>
      <c r="L8" s="18"/>
      <c r="M8" s="20"/>
      <c r="N8" s="20"/>
      <c r="O8" s="20"/>
      <c r="P8" s="18" t="s">
        <v>14</v>
      </c>
      <c r="Q8" s="18" t="s">
        <v>15</v>
      </c>
      <c r="R8" s="18" t="s">
        <v>16</v>
      </c>
      <c r="S8" s="20">
        <v>4</v>
      </c>
      <c r="T8" s="20">
        <v>5</v>
      </c>
      <c r="U8" s="20">
        <v>6</v>
      </c>
      <c r="V8" s="18" t="s">
        <v>17</v>
      </c>
      <c r="W8" s="18" t="s">
        <v>18</v>
      </c>
      <c r="X8" s="18" t="s">
        <v>19</v>
      </c>
      <c r="Y8" s="20">
        <v>10</v>
      </c>
      <c r="Z8" s="20">
        <v>11</v>
      </c>
      <c r="AA8" s="20">
        <v>12</v>
      </c>
      <c r="AB8" s="18" t="s">
        <v>20</v>
      </c>
      <c r="AC8" s="18" t="s">
        <v>21</v>
      </c>
      <c r="AD8" s="18" t="s">
        <v>22</v>
      </c>
      <c r="AE8" s="20" t="s">
        <v>23</v>
      </c>
      <c r="AF8" s="20" t="s">
        <v>24</v>
      </c>
      <c r="AG8" s="21" t="s">
        <v>25</v>
      </c>
      <c r="AH8" s="22"/>
    </row>
    <row r="9" spans="1:38" s="1" customFormat="1" x14ac:dyDescent="0.25">
      <c r="A9" s="24" t="s">
        <v>26</v>
      </c>
      <c r="B9" s="25">
        <f>B12+B13+B14+B15+B16+B17+B18+B19+B20+B21+B22+B23+B24+B25+B26-B11+B28</f>
        <v>0</v>
      </c>
      <c r="C9" s="25">
        <f t="shared" ref="C9:D9" si="0">C12+C13+C14+C15+C16+C17+C18+C19+C20+C21+C22+C23+C24+C25+C26-C11+C28</f>
        <v>0</v>
      </c>
      <c r="D9" s="25">
        <f t="shared" si="0"/>
        <v>0</v>
      </c>
      <c r="E9" s="25">
        <f>E12+E13+E14+E15+E16+E17+E18+E19+E20+E21+E22+E23+E24+E25+E26-E11+E28</f>
        <v>0</v>
      </c>
      <c r="F9" s="25">
        <f t="shared" ref="F9:O9" si="1">F12+F13+F14+F15+F16+F17+F18+F19+F20+F21+F22+F23+F24+F25+F26-F11+F28</f>
        <v>-1.9073486328125E-6</v>
      </c>
      <c r="G9" s="25">
        <f t="shared" si="1"/>
        <v>0</v>
      </c>
      <c r="H9" s="25">
        <f t="shared" si="1"/>
        <v>0</v>
      </c>
      <c r="I9" s="25">
        <f t="shared" si="1"/>
        <v>-7.62939453125E-6</v>
      </c>
      <c r="J9" s="25">
        <f t="shared" si="1"/>
        <v>0</v>
      </c>
      <c r="K9" s="25">
        <f t="shared" si="1"/>
        <v>7.62939453125E-6</v>
      </c>
      <c r="L9" s="25">
        <f t="shared" si="1"/>
        <v>3.814697265625E-6</v>
      </c>
      <c r="M9" s="25">
        <f t="shared" si="1"/>
        <v>9.5367431640625E-7</v>
      </c>
      <c r="N9" s="25">
        <f t="shared" si="1"/>
        <v>0</v>
      </c>
      <c r="O9" s="25">
        <f t="shared" si="1"/>
        <v>-1.1920928955078125E-7</v>
      </c>
      <c r="P9" s="26"/>
      <c r="Q9" s="26"/>
      <c r="R9" s="27">
        <f>T131+U131</f>
        <v>1284.0433532</v>
      </c>
      <c r="S9" s="28"/>
      <c r="T9" s="28"/>
      <c r="U9" s="28"/>
      <c r="V9" s="28"/>
      <c r="W9" s="28"/>
      <c r="X9" s="27">
        <f>Z131+AA131</f>
        <v>772.67637280999998</v>
      </c>
      <c r="Y9" s="26"/>
      <c r="Z9" s="26"/>
      <c r="AA9" s="26"/>
      <c r="AB9" s="26"/>
      <c r="AC9" s="26"/>
      <c r="AD9" s="26"/>
      <c r="AE9" s="26"/>
      <c r="AF9" s="26"/>
      <c r="AG9" s="29"/>
      <c r="AH9" s="30">
        <f>+AH17+AH14+AH18+AH19</f>
        <v>-120.37173721000001</v>
      </c>
    </row>
    <row r="10" spans="1:38" s="42" customFormat="1" hidden="1" x14ac:dyDescent="0.25">
      <c r="A10" s="183" t="s">
        <v>27</v>
      </c>
      <c r="B10" s="36">
        <v>76611416412.369995</v>
      </c>
      <c r="C10" s="36">
        <v>21094409652.18</v>
      </c>
      <c r="D10" s="36">
        <v>63464229613.360001</v>
      </c>
      <c r="E10" s="184">
        <f>F10+G10+H10-E131</f>
        <v>32957553097.989998</v>
      </c>
      <c r="F10" s="36">
        <v>19166067126.360001</v>
      </c>
      <c r="G10" s="36">
        <v>12969842599.799999</v>
      </c>
      <c r="H10" s="36">
        <v>2105686725.0300002</v>
      </c>
      <c r="I10" s="36">
        <v>58342073950.68</v>
      </c>
      <c r="J10" s="36">
        <v>14775638550.02</v>
      </c>
      <c r="K10" s="36">
        <v>49047813736.970001</v>
      </c>
      <c r="L10" s="184">
        <f>+M10+N10+O10-L131</f>
        <v>23297222390.920002</v>
      </c>
      <c r="M10" s="185">
        <v>13262147055.24</v>
      </c>
      <c r="N10" s="185">
        <v>9531402779.6599998</v>
      </c>
      <c r="O10" s="185">
        <v>1276348928.8299999</v>
      </c>
      <c r="P10" s="38">
        <f t="shared" ref="P10:P43" si="2">B10/1000000</f>
        <v>76611.416412369988</v>
      </c>
      <c r="Q10" s="38">
        <f t="shared" ref="Q10:V25" si="3">D10/1000000</f>
        <v>63464.229613360003</v>
      </c>
      <c r="R10" s="38">
        <f t="shared" si="3"/>
        <v>32957.55309799</v>
      </c>
      <c r="S10" s="38">
        <f t="shared" si="3"/>
        <v>19166.067126360002</v>
      </c>
      <c r="T10" s="38">
        <f t="shared" si="3"/>
        <v>12969.842599799998</v>
      </c>
      <c r="U10" s="38">
        <f t="shared" si="3"/>
        <v>2105.6867250300002</v>
      </c>
      <c r="V10" s="38">
        <f t="shared" si="3"/>
        <v>58342.073950680002</v>
      </c>
      <c r="W10" s="38">
        <f t="shared" ref="W10:AA38" si="4">K10/1000000</f>
        <v>49047.813736969998</v>
      </c>
      <c r="X10" s="38">
        <f t="shared" si="4"/>
        <v>23297.22239092</v>
      </c>
      <c r="Y10" s="38">
        <f t="shared" si="4"/>
        <v>13262.147055240001</v>
      </c>
      <c r="Z10" s="38">
        <f t="shared" si="4"/>
        <v>9531.4027796600003</v>
      </c>
      <c r="AA10" s="38">
        <f t="shared" si="4"/>
        <v>1276.34892883</v>
      </c>
      <c r="AB10" s="186">
        <f t="shared" ref="AB10:AG11" si="5">V10/P10%</f>
        <v>76.153237575777098</v>
      </c>
      <c r="AC10" s="186">
        <f t="shared" si="5"/>
        <v>77.284186754935149</v>
      </c>
      <c r="AD10" s="38">
        <f t="shared" si="5"/>
        <v>70.688568176321439</v>
      </c>
      <c r="AE10" s="38">
        <f t="shared" si="5"/>
        <v>69.195975198270801</v>
      </c>
      <c r="AF10" s="38">
        <f t="shared" si="5"/>
        <v>73.488962617071238</v>
      </c>
      <c r="AG10" s="39">
        <f t="shared" si="5"/>
        <v>60.614378846493203</v>
      </c>
      <c r="AH10" s="40"/>
    </row>
    <row r="11" spans="1:38" s="42" customFormat="1" x14ac:dyDescent="0.25">
      <c r="A11" s="35" t="s">
        <v>28</v>
      </c>
      <c r="B11" s="36">
        <v>59636840472.169998</v>
      </c>
      <c r="C11" s="36">
        <v>711466.67</v>
      </c>
      <c r="D11" s="36">
        <v>46401736551.889999</v>
      </c>
      <c r="E11" s="37">
        <f>F11+G11+H11</f>
        <v>13235815386.949999</v>
      </c>
      <c r="F11" s="36">
        <v>9669240927.7299995</v>
      </c>
      <c r="G11" s="36">
        <v>2631205910.7199998</v>
      </c>
      <c r="H11" s="36">
        <v>935368548.5</v>
      </c>
      <c r="I11" s="36">
        <v>45702720393.510002</v>
      </c>
      <c r="J11" s="36">
        <v>0</v>
      </c>
      <c r="K11" s="36">
        <v>36325533701.93</v>
      </c>
      <c r="L11" s="37">
        <f>M11+N11+O11</f>
        <v>9377186691.5799999</v>
      </c>
      <c r="M11" s="36">
        <v>6846002886.6800003</v>
      </c>
      <c r="N11" s="36">
        <v>1944200851.9200001</v>
      </c>
      <c r="O11" s="36">
        <v>586982952.98000002</v>
      </c>
      <c r="P11" s="38">
        <f t="shared" si="2"/>
        <v>59636.840472169999</v>
      </c>
      <c r="Q11" s="38">
        <f t="shared" si="3"/>
        <v>46401.736551889997</v>
      </c>
      <c r="R11" s="38">
        <f t="shared" si="3"/>
        <v>13235.815386949998</v>
      </c>
      <c r="S11" s="38">
        <f t="shared" si="3"/>
        <v>9669.2409277299994</v>
      </c>
      <c r="T11" s="38">
        <f t="shared" si="3"/>
        <v>2631.2059107199998</v>
      </c>
      <c r="U11" s="38">
        <f t="shared" si="3"/>
        <v>935.36854849999997</v>
      </c>
      <c r="V11" s="38">
        <f t="shared" si="3"/>
        <v>45702.720393510004</v>
      </c>
      <c r="W11" s="38">
        <f t="shared" si="4"/>
        <v>36325.533701929999</v>
      </c>
      <c r="X11" s="38">
        <f t="shared" si="4"/>
        <v>9377.1866915800001</v>
      </c>
      <c r="Y11" s="38">
        <f t="shared" si="4"/>
        <v>6846.0028866800003</v>
      </c>
      <c r="Z11" s="38">
        <f t="shared" si="4"/>
        <v>1944.2008519200001</v>
      </c>
      <c r="AA11" s="38">
        <f t="shared" si="4"/>
        <v>586.98295298000005</v>
      </c>
      <c r="AB11" s="38">
        <f t="shared" si="5"/>
        <v>76.63504644387983</v>
      </c>
      <c r="AC11" s="38">
        <f>W11/Q11%</f>
        <v>78.284858286085878</v>
      </c>
      <c r="AD11" s="38">
        <f t="shared" si="5"/>
        <v>70.847064706157383</v>
      </c>
      <c r="AE11" s="38">
        <f t="shared" si="5"/>
        <v>70.801864777685324</v>
      </c>
      <c r="AF11" s="38">
        <f t="shared" si="5"/>
        <v>73.890106585690646</v>
      </c>
      <c r="AG11" s="39">
        <f t="shared" si="5"/>
        <v>62.754189663669244</v>
      </c>
      <c r="AH11" s="40">
        <f>+X11-R11</f>
        <v>-3858.6286953699982</v>
      </c>
      <c r="AI11" s="41">
        <f>V11-W11-X11</f>
        <v>0</v>
      </c>
    </row>
    <row r="12" spans="1:38" x14ac:dyDescent="0.25">
      <c r="A12" s="43" t="s">
        <v>29</v>
      </c>
      <c r="B12" s="31">
        <v>11844993500</v>
      </c>
      <c r="C12" s="31">
        <v>0</v>
      </c>
      <c r="D12" s="31">
        <v>11844993500</v>
      </c>
      <c r="E12" s="37">
        <f t="shared" ref="E12:E27" si="6">F12+G12+H12</f>
        <v>0</v>
      </c>
      <c r="F12" s="31">
        <v>0</v>
      </c>
      <c r="G12" s="31">
        <v>0</v>
      </c>
      <c r="H12" s="31">
        <v>0</v>
      </c>
      <c r="I12" s="31">
        <v>10979239752.129999</v>
      </c>
      <c r="J12" s="31">
        <v>0</v>
      </c>
      <c r="K12" s="31">
        <v>10979239752.129999</v>
      </c>
      <c r="L12" s="37">
        <f t="shared" ref="L12:L28" si="7">M12+N12+O12</f>
        <v>0</v>
      </c>
      <c r="M12" s="31">
        <v>0</v>
      </c>
      <c r="N12" s="31">
        <v>0</v>
      </c>
      <c r="O12" s="31">
        <v>0</v>
      </c>
      <c r="P12" s="32">
        <f t="shared" si="2"/>
        <v>11844.9935</v>
      </c>
      <c r="Q12" s="32">
        <f t="shared" si="3"/>
        <v>11844.9935</v>
      </c>
      <c r="R12" s="32">
        <f t="shared" si="3"/>
        <v>0</v>
      </c>
      <c r="S12" s="32">
        <f t="shared" si="3"/>
        <v>0</v>
      </c>
      <c r="T12" s="32">
        <f t="shared" si="3"/>
        <v>0</v>
      </c>
      <c r="U12" s="32">
        <f t="shared" si="3"/>
        <v>0</v>
      </c>
      <c r="V12" s="32">
        <f t="shared" si="3"/>
        <v>10979.239752129999</v>
      </c>
      <c r="W12" s="32">
        <f t="shared" si="4"/>
        <v>10979.239752129999</v>
      </c>
      <c r="X12" s="32">
        <f t="shared" si="4"/>
        <v>0</v>
      </c>
      <c r="Y12" s="32">
        <f t="shared" si="4"/>
        <v>0</v>
      </c>
      <c r="Z12" s="32">
        <f t="shared" si="4"/>
        <v>0</v>
      </c>
      <c r="AA12" s="32">
        <f t="shared" si="4"/>
        <v>0</v>
      </c>
      <c r="AB12" s="32">
        <f>V12/P12%</f>
        <v>92.690973212691063</v>
      </c>
      <c r="AC12" s="32">
        <f>W12/Q12%</f>
        <v>92.690973212691063</v>
      </c>
      <c r="AD12" s="44" t="s">
        <v>30</v>
      </c>
      <c r="AE12" s="44" t="s">
        <v>30</v>
      </c>
      <c r="AF12" s="44" t="s">
        <v>30</v>
      </c>
      <c r="AG12" s="45" t="s">
        <v>30</v>
      </c>
      <c r="AH12" s="40">
        <f t="shared" ref="AH12:AH28" si="8">+X12-R12</f>
        <v>0</v>
      </c>
      <c r="AI12" s="3">
        <f t="shared" ref="AI12:AI37" si="9">V12-W12-X12</f>
        <v>0</v>
      </c>
      <c r="AJ12" s="7">
        <f>V12-P12</f>
        <v>-865.75374787000146</v>
      </c>
    </row>
    <row r="13" spans="1:38" x14ac:dyDescent="0.25">
      <c r="A13" s="43" t="s">
        <v>31</v>
      </c>
      <c r="B13" s="31">
        <v>25586287166.860001</v>
      </c>
      <c r="C13" s="31">
        <v>0</v>
      </c>
      <c r="D13" s="31">
        <v>16964808500</v>
      </c>
      <c r="E13" s="37">
        <f t="shared" si="6"/>
        <v>8621478666.8600006</v>
      </c>
      <c r="F13" s="31">
        <v>6687223800</v>
      </c>
      <c r="G13" s="31">
        <v>1598735657.55</v>
      </c>
      <c r="H13" s="31">
        <v>335519209.31</v>
      </c>
      <c r="I13" s="31">
        <v>18097493595.389999</v>
      </c>
      <c r="J13" s="31">
        <v>0</v>
      </c>
      <c r="K13" s="31">
        <v>12009148250.02</v>
      </c>
      <c r="L13" s="37">
        <f t="shared" si="7"/>
        <v>6088345345.3700008</v>
      </c>
      <c r="M13" s="31">
        <v>4656920249.9700003</v>
      </c>
      <c r="N13" s="31">
        <v>1180638881.6500001</v>
      </c>
      <c r="O13" s="31">
        <v>250786213.75</v>
      </c>
      <c r="P13" s="32">
        <f t="shared" si="2"/>
        <v>25586.287166860002</v>
      </c>
      <c r="Q13" s="32">
        <f t="shared" si="3"/>
        <v>16964.808499999999</v>
      </c>
      <c r="R13" s="32">
        <f t="shared" si="3"/>
        <v>8621.4786668600009</v>
      </c>
      <c r="S13" s="32">
        <f t="shared" si="3"/>
        <v>6687.2237999999998</v>
      </c>
      <c r="T13" s="32">
        <f t="shared" si="3"/>
        <v>1598.73565755</v>
      </c>
      <c r="U13" s="32">
        <f t="shared" si="3"/>
        <v>335.51920931000001</v>
      </c>
      <c r="V13" s="32">
        <f t="shared" si="3"/>
        <v>18097.493595389999</v>
      </c>
      <c r="W13" s="32">
        <f t="shared" si="4"/>
        <v>12009.14825002</v>
      </c>
      <c r="X13" s="32">
        <f t="shared" si="4"/>
        <v>6088.3453453700013</v>
      </c>
      <c r="Y13" s="32">
        <f t="shared" si="4"/>
        <v>4656.9202499700004</v>
      </c>
      <c r="Z13" s="32">
        <f t="shared" si="4"/>
        <v>1180.63888165</v>
      </c>
      <c r="AA13" s="32">
        <f t="shared" si="4"/>
        <v>250.78621375</v>
      </c>
      <c r="AB13" s="33">
        <f>V13/P13%</f>
        <v>70.73122206972775</v>
      </c>
      <c r="AC13" s="33">
        <f>W13/Q13%</f>
        <v>70.788587150983759</v>
      </c>
      <c r="AD13" s="33">
        <f t="shared" ref="AD13:AG14" si="10">X13/R13%</f>
        <v>70.618342637358936</v>
      </c>
      <c r="AE13" s="33">
        <f t="shared" si="10"/>
        <v>69.639066812299603</v>
      </c>
      <c r="AF13" s="33">
        <f t="shared" si="10"/>
        <v>73.848286054949384</v>
      </c>
      <c r="AG13" s="46">
        <f t="shared" si="10"/>
        <v>74.745709572261276</v>
      </c>
      <c r="AH13" s="40">
        <f t="shared" si="8"/>
        <v>-2533.1333214899996</v>
      </c>
      <c r="AI13" s="3">
        <f t="shared" si="9"/>
        <v>0</v>
      </c>
    </row>
    <row r="14" spans="1:38" x14ac:dyDescent="0.25">
      <c r="A14" s="43" t="s">
        <v>32</v>
      </c>
      <c r="B14" s="31">
        <v>3867746704.3200002</v>
      </c>
      <c r="C14" s="31">
        <v>0</v>
      </c>
      <c r="D14" s="31">
        <v>3602130400</v>
      </c>
      <c r="E14" s="37">
        <f t="shared" si="6"/>
        <v>265616304.31999999</v>
      </c>
      <c r="F14" s="31">
        <v>32220553</v>
      </c>
      <c r="G14" s="31">
        <v>193136734</v>
      </c>
      <c r="H14" s="31">
        <v>40259017.32</v>
      </c>
      <c r="I14" s="31">
        <v>3349291336.5500002</v>
      </c>
      <c r="J14" s="31">
        <v>0</v>
      </c>
      <c r="K14" s="31">
        <v>3139539190.7600002</v>
      </c>
      <c r="L14" s="37">
        <f t="shared" si="7"/>
        <v>209752145.78999999</v>
      </c>
      <c r="M14" s="31">
        <v>25298206.420000002</v>
      </c>
      <c r="N14" s="31">
        <v>152428772.09999999</v>
      </c>
      <c r="O14" s="31">
        <v>32025167.27</v>
      </c>
      <c r="P14" s="32">
        <f t="shared" si="2"/>
        <v>3867.7467043200004</v>
      </c>
      <c r="Q14" s="32">
        <f t="shared" si="3"/>
        <v>3602.1304</v>
      </c>
      <c r="R14" s="32">
        <f t="shared" si="3"/>
        <v>265.61630431999998</v>
      </c>
      <c r="S14" s="32">
        <f t="shared" si="3"/>
        <v>32.220553000000002</v>
      </c>
      <c r="T14" s="32">
        <f t="shared" si="3"/>
        <v>193.13673399999999</v>
      </c>
      <c r="U14" s="32">
        <f t="shared" si="3"/>
        <v>40.259017319999998</v>
      </c>
      <c r="V14" s="32">
        <f t="shared" si="3"/>
        <v>3349.2913365500003</v>
      </c>
      <c r="W14" s="32">
        <f t="shared" si="4"/>
        <v>3139.5391907600001</v>
      </c>
      <c r="X14" s="32">
        <f t="shared" si="4"/>
        <v>209.75214578999999</v>
      </c>
      <c r="Y14" s="32">
        <f t="shared" si="4"/>
        <v>25.298206420000003</v>
      </c>
      <c r="Z14" s="32">
        <f t="shared" si="4"/>
        <v>152.4287721</v>
      </c>
      <c r="AA14" s="32">
        <f t="shared" si="4"/>
        <v>32.025167269999997</v>
      </c>
      <c r="AB14" s="33">
        <f t="shared" ref="AB14:AG38" si="11">V14/P14%</f>
        <v>86.595415692787697</v>
      </c>
      <c r="AC14" s="33">
        <f t="shared" si="11"/>
        <v>87.15784389038221</v>
      </c>
      <c r="AD14" s="33">
        <f t="shared" si="10"/>
        <v>78.968098862373324</v>
      </c>
      <c r="AE14" s="33">
        <f t="shared" si="10"/>
        <v>78.515742482756281</v>
      </c>
      <c r="AF14" s="33">
        <f t="shared" si="10"/>
        <v>78.922724301633892</v>
      </c>
      <c r="AG14" s="46">
        <f t="shared" si="10"/>
        <v>79.547811650361467</v>
      </c>
      <c r="AH14" s="40">
        <f t="shared" si="8"/>
        <v>-55.864158529999997</v>
      </c>
      <c r="AI14" s="3">
        <f t="shared" si="9"/>
        <v>2.2737367544323206E-13</v>
      </c>
      <c r="AL14" s="7">
        <f>X13+X15+X16</f>
        <v>7379.8426219800012</v>
      </c>
    </row>
    <row r="15" spans="1:38" x14ac:dyDescent="0.25">
      <c r="A15" s="43" t="s">
        <v>33</v>
      </c>
      <c r="B15" s="31">
        <v>3611335887.9499998</v>
      </c>
      <c r="C15" s="31">
        <v>0</v>
      </c>
      <c r="D15" s="31">
        <v>2470160000</v>
      </c>
      <c r="E15" s="37">
        <f t="shared" si="6"/>
        <v>1141175887.95</v>
      </c>
      <c r="F15" s="31">
        <v>802300700</v>
      </c>
      <c r="G15" s="31">
        <v>326154597</v>
      </c>
      <c r="H15" s="31">
        <v>12720590.949999999</v>
      </c>
      <c r="I15" s="31">
        <v>2990152823.6999998</v>
      </c>
      <c r="J15" s="31">
        <v>0</v>
      </c>
      <c r="K15" s="31">
        <v>2144148301.52</v>
      </c>
      <c r="L15" s="37">
        <f t="shared" si="7"/>
        <v>846004522.18000007</v>
      </c>
      <c r="M15" s="31">
        <v>591705736.83000004</v>
      </c>
      <c r="N15" s="31">
        <v>241177505.00999999</v>
      </c>
      <c r="O15" s="31">
        <v>13121280.34</v>
      </c>
      <c r="P15" s="32">
        <f t="shared" si="2"/>
        <v>3611.3358879499997</v>
      </c>
      <c r="Q15" s="32">
        <f t="shared" si="3"/>
        <v>2470.16</v>
      </c>
      <c r="R15" s="32">
        <f t="shared" si="3"/>
        <v>1141.1758879500001</v>
      </c>
      <c r="S15" s="32">
        <f t="shared" si="3"/>
        <v>802.30070000000001</v>
      </c>
      <c r="T15" s="32">
        <f t="shared" si="3"/>
        <v>326.15459700000002</v>
      </c>
      <c r="U15" s="32">
        <f t="shared" si="3"/>
        <v>12.72059095</v>
      </c>
      <c r="V15" s="32">
        <f t="shared" si="3"/>
        <v>2990.1528236999998</v>
      </c>
      <c r="W15" s="32">
        <f t="shared" si="4"/>
        <v>2144.1483015200001</v>
      </c>
      <c r="X15" s="32">
        <f t="shared" si="4"/>
        <v>846.00452218000009</v>
      </c>
      <c r="Y15" s="32">
        <f t="shared" si="4"/>
        <v>591.70573683000009</v>
      </c>
      <c r="Z15" s="32">
        <f t="shared" si="4"/>
        <v>241.17750501</v>
      </c>
      <c r="AA15" s="32">
        <f t="shared" si="4"/>
        <v>13.12128034</v>
      </c>
      <c r="AB15" s="33">
        <f t="shared" si="11"/>
        <v>82.799078138294718</v>
      </c>
      <c r="AC15" s="33">
        <f t="shared" si="11"/>
        <v>86.802000741652364</v>
      </c>
      <c r="AD15" s="33">
        <f t="shared" si="11"/>
        <v>74.134454742095571</v>
      </c>
      <c r="AE15" s="33">
        <f t="shared" si="11"/>
        <v>73.751118106964142</v>
      </c>
      <c r="AF15" s="33">
        <f t="shared" si="11"/>
        <v>73.945762907643456</v>
      </c>
      <c r="AG15" s="34">
        <f t="shared" si="11"/>
        <v>103.14992748037386</v>
      </c>
      <c r="AH15" s="40">
        <f t="shared" si="8"/>
        <v>-295.17136576999997</v>
      </c>
      <c r="AI15" s="3">
        <f t="shared" si="9"/>
        <v>0</v>
      </c>
      <c r="AL15" s="7">
        <f>AL14/X39%</f>
        <v>95.540471449775623</v>
      </c>
    </row>
    <row r="16" spans="1:38" x14ac:dyDescent="0.25">
      <c r="A16" s="43" t="s">
        <v>34</v>
      </c>
      <c r="B16" s="31">
        <v>8493352538.5500002</v>
      </c>
      <c r="C16" s="31">
        <v>0</v>
      </c>
      <c r="D16" s="31">
        <v>7623104700</v>
      </c>
      <c r="E16" s="37">
        <f t="shared" si="6"/>
        <v>870247838.54999995</v>
      </c>
      <c r="F16" s="31">
        <v>577466700</v>
      </c>
      <c r="G16" s="31">
        <v>0</v>
      </c>
      <c r="H16" s="31">
        <v>292781138.55000001</v>
      </c>
      <c r="I16" s="31">
        <v>5699358267.71</v>
      </c>
      <c r="J16" s="31">
        <v>0</v>
      </c>
      <c r="K16" s="31">
        <v>5253865513.2799997</v>
      </c>
      <c r="L16" s="37">
        <f t="shared" si="7"/>
        <v>445492754.42999995</v>
      </c>
      <c r="M16" s="31">
        <v>329098492.95999998</v>
      </c>
      <c r="N16" s="31">
        <v>0</v>
      </c>
      <c r="O16" s="31">
        <v>116394261.47</v>
      </c>
      <c r="P16" s="32">
        <f t="shared" si="2"/>
        <v>8493.3525385499997</v>
      </c>
      <c r="Q16" s="32">
        <f t="shared" si="3"/>
        <v>7623.1046999999999</v>
      </c>
      <c r="R16" s="32">
        <f t="shared" si="3"/>
        <v>870.24783854999998</v>
      </c>
      <c r="S16" s="32">
        <f t="shared" si="3"/>
        <v>577.46669999999995</v>
      </c>
      <c r="T16" s="32">
        <f t="shared" si="3"/>
        <v>0</v>
      </c>
      <c r="U16" s="32">
        <f t="shared" si="3"/>
        <v>292.78113855000004</v>
      </c>
      <c r="V16" s="32">
        <f t="shared" si="3"/>
        <v>5699.3582677100003</v>
      </c>
      <c r="W16" s="32">
        <f t="shared" si="4"/>
        <v>5253.8655132799995</v>
      </c>
      <c r="X16" s="32">
        <f t="shared" si="4"/>
        <v>445.49275442999993</v>
      </c>
      <c r="Y16" s="32">
        <f t="shared" si="4"/>
        <v>329.09849295999999</v>
      </c>
      <c r="Z16" s="32">
        <f t="shared" si="4"/>
        <v>0</v>
      </c>
      <c r="AA16" s="32">
        <f t="shared" si="4"/>
        <v>116.39426147</v>
      </c>
      <c r="AB16" s="33">
        <f t="shared" si="11"/>
        <v>67.103752515175884</v>
      </c>
      <c r="AC16" s="33">
        <f t="shared" si="11"/>
        <v>68.920285369817876</v>
      </c>
      <c r="AD16" s="33">
        <f t="shared" si="11"/>
        <v>51.191480713388088</v>
      </c>
      <c r="AE16" s="33">
        <f t="shared" si="11"/>
        <v>56.990038206532091</v>
      </c>
      <c r="AF16" s="44" t="s">
        <v>30</v>
      </c>
      <c r="AG16" s="34">
        <f t="shared" si="11"/>
        <v>39.754699379353163</v>
      </c>
      <c r="AH16" s="40">
        <f t="shared" si="8"/>
        <v>-424.75508412000005</v>
      </c>
      <c r="AI16" s="3">
        <f t="shared" si="9"/>
        <v>8.5265128291212022E-13</v>
      </c>
    </row>
    <row r="17" spans="1:39" ht="26.4" x14ac:dyDescent="0.25">
      <c r="A17" s="43" t="s">
        <v>35</v>
      </c>
      <c r="B17" s="31">
        <v>2601465000</v>
      </c>
      <c r="C17" s="31">
        <v>0</v>
      </c>
      <c r="D17" s="31">
        <v>2601465000</v>
      </c>
      <c r="E17" s="37">
        <f t="shared" si="6"/>
        <v>0</v>
      </c>
      <c r="F17" s="47">
        <v>0</v>
      </c>
      <c r="G17" s="47">
        <v>0</v>
      </c>
      <c r="H17" s="47">
        <v>0</v>
      </c>
      <c r="I17" s="48">
        <v>1811350567.8800001</v>
      </c>
      <c r="J17" s="48">
        <v>0</v>
      </c>
      <c r="K17" s="48">
        <v>1811350567.8800001</v>
      </c>
      <c r="L17" s="37">
        <f t="shared" si="7"/>
        <v>0</v>
      </c>
      <c r="M17" s="49">
        <v>0</v>
      </c>
      <c r="N17" s="49">
        <v>0</v>
      </c>
      <c r="O17" s="49">
        <v>0</v>
      </c>
      <c r="P17" s="32">
        <f t="shared" si="2"/>
        <v>2601.4650000000001</v>
      </c>
      <c r="Q17" s="32">
        <f t="shared" si="3"/>
        <v>2601.4650000000001</v>
      </c>
      <c r="R17" s="32">
        <f t="shared" si="3"/>
        <v>0</v>
      </c>
      <c r="S17" s="32">
        <f t="shared" si="3"/>
        <v>0</v>
      </c>
      <c r="T17" s="32">
        <f t="shared" si="3"/>
        <v>0</v>
      </c>
      <c r="U17" s="32">
        <f t="shared" si="3"/>
        <v>0</v>
      </c>
      <c r="V17" s="32">
        <f t="shared" si="3"/>
        <v>1811.3505678800002</v>
      </c>
      <c r="W17" s="32">
        <f t="shared" si="4"/>
        <v>1811.3505678800002</v>
      </c>
      <c r="X17" s="32">
        <f t="shared" si="4"/>
        <v>0</v>
      </c>
      <c r="Y17" s="32">
        <f t="shared" si="4"/>
        <v>0</v>
      </c>
      <c r="Z17" s="32">
        <f t="shared" si="4"/>
        <v>0</v>
      </c>
      <c r="AA17" s="32">
        <f t="shared" si="4"/>
        <v>0</v>
      </c>
      <c r="AB17" s="33">
        <f t="shared" si="11"/>
        <v>69.628096779314731</v>
      </c>
      <c r="AC17" s="33">
        <f t="shared" si="11"/>
        <v>69.628096779314731</v>
      </c>
      <c r="AD17" s="44" t="s">
        <v>30</v>
      </c>
      <c r="AE17" s="44" t="s">
        <v>30</v>
      </c>
      <c r="AF17" s="44" t="s">
        <v>30</v>
      </c>
      <c r="AG17" s="50" t="s">
        <v>30</v>
      </c>
      <c r="AH17" s="40">
        <f t="shared" si="8"/>
        <v>0</v>
      </c>
      <c r="AI17" s="3">
        <f t="shared" si="9"/>
        <v>0</v>
      </c>
    </row>
    <row r="18" spans="1:39" x14ac:dyDescent="0.25">
      <c r="A18" s="43" t="s">
        <v>36</v>
      </c>
      <c r="B18" s="31">
        <v>311978879</v>
      </c>
      <c r="C18" s="31">
        <v>0</v>
      </c>
      <c r="D18" s="31">
        <v>112758000</v>
      </c>
      <c r="E18" s="37">
        <f t="shared" si="6"/>
        <v>199220879</v>
      </c>
      <c r="F18" s="31">
        <v>147517600</v>
      </c>
      <c r="G18" s="31">
        <v>48745222</v>
      </c>
      <c r="H18" s="31">
        <v>2958057</v>
      </c>
      <c r="I18" s="31">
        <v>249766735.38</v>
      </c>
      <c r="J18" s="31">
        <v>0</v>
      </c>
      <c r="K18" s="48">
        <v>115216576.72</v>
      </c>
      <c r="L18" s="37">
        <f t="shared" si="7"/>
        <v>134550158.66</v>
      </c>
      <c r="M18" s="31">
        <v>102029896.93000001</v>
      </c>
      <c r="N18" s="31">
        <v>30835168.640000001</v>
      </c>
      <c r="O18" s="31">
        <v>1685093.09</v>
      </c>
      <c r="P18" s="32">
        <f t="shared" si="2"/>
        <v>311.97887900000001</v>
      </c>
      <c r="Q18" s="32">
        <f t="shared" si="3"/>
        <v>112.758</v>
      </c>
      <c r="R18" s="32">
        <f t="shared" si="3"/>
        <v>199.220879</v>
      </c>
      <c r="S18" s="32">
        <f t="shared" si="3"/>
        <v>147.51759999999999</v>
      </c>
      <c r="T18" s="32">
        <f t="shared" si="3"/>
        <v>48.745221999999998</v>
      </c>
      <c r="U18" s="32">
        <f t="shared" si="3"/>
        <v>2.9580570000000002</v>
      </c>
      <c r="V18" s="32">
        <f t="shared" si="3"/>
        <v>249.76673538</v>
      </c>
      <c r="W18" s="32">
        <f t="shared" si="4"/>
        <v>115.21657671999999</v>
      </c>
      <c r="X18" s="32">
        <f t="shared" si="4"/>
        <v>134.55015865999999</v>
      </c>
      <c r="Y18" s="32">
        <f t="shared" si="4"/>
        <v>102.02989693000001</v>
      </c>
      <c r="Z18" s="32">
        <f t="shared" si="4"/>
        <v>30.835168639999999</v>
      </c>
      <c r="AA18" s="32">
        <f t="shared" si="4"/>
        <v>1.6850930900000001</v>
      </c>
      <c r="AB18" s="33">
        <f t="shared" si="11"/>
        <v>80.058860452537246</v>
      </c>
      <c r="AC18" s="32">
        <f t="shared" si="11"/>
        <v>102.18040114226928</v>
      </c>
      <c r="AD18" s="33">
        <f t="shared" si="11"/>
        <v>67.538181407180716</v>
      </c>
      <c r="AE18" s="33">
        <f t="shared" si="11"/>
        <v>69.164558622157642</v>
      </c>
      <c r="AF18" s="33">
        <f t="shared" si="11"/>
        <v>63.257827895419162</v>
      </c>
      <c r="AG18" s="46">
        <f t="shared" si="11"/>
        <v>56.966214308919675</v>
      </c>
      <c r="AH18" s="40">
        <f t="shared" si="8"/>
        <v>-64.670720340000003</v>
      </c>
      <c r="AI18" s="3">
        <f t="shared" si="9"/>
        <v>0</v>
      </c>
    </row>
    <row r="19" spans="1:39" ht="26.4" x14ac:dyDescent="0.25">
      <c r="A19" s="43" t="s">
        <v>37</v>
      </c>
      <c r="B19" s="31">
        <v>2383.8000000000002</v>
      </c>
      <c r="C19" s="31">
        <v>0</v>
      </c>
      <c r="D19" s="31">
        <v>0</v>
      </c>
      <c r="E19" s="37">
        <f t="shared" si="6"/>
        <v>2383.8000000000002</v>
      </c>
      <c r="F19" s="31">
        <v>1000</v>
      </c>
      <c r="G19" s="31">
        <v>0</v>
      </c>
      <c r="H19" s="31">
        <v>1383.8</v>
      </c>
      <c r="I19" s="51">
        <v>182306.8</v>
      </c>
      <c r="J19" s="51">
        <v>0</v>
      </c>
      <c r="K19" s="51">
        <v>16781.34</v>
      </c>
      <c r="L19" s="37">
        <f t="shared" si="7"/>
        <v>165525.46</v>
      </c>
      <c r="M19" s="51">
        <v>-916.88</v>
      </c>
      <c r="N19" s="51">
        <v>156680.19</v>
      </c>
      <c r="O19" s="51">
        <v>9762.15</v>
      </c>
      <c r="P19" s="32">
        <f t="shared" si="2"/>
        <v>2.3838000000000002E-3</v>
      </c>
      <c r="Q19" s="32">
        <f t="shared" si="3"/>
        <v>0</v>
      </c>
      <c r="R19" s="32">
        <f t="shared" si="3"/>
        <v>2.3838000000000002E-3</v>
      </c>
      <c r="S19" s="32">
        <f t="shared" si="3"/>
        <v>1E-3</v>
      </c>
      <c r="T19" s="32">
        <f t="shared" si="3"/>
        <v>0</v>
      </c>
      <c r="U19" s="32">
        <f t="shared" si="3"/>
        <v>1.3837999999999999E-3</v>
      </c>
      <c r="V19" s="32">
        <f t="shared" si="3"/>
        <v>0.18230679999999999</v>
      </c>
      <c r="W19" s="32">
        <f t="shared" si="4"/>
        <v>1.6781339999999999E-2</v>
      </c>
      <c r="X19" s="32">
        <f t="shared" si="4"/>
        <v>0.16552545999999999</v>
      </c>
      <c r="Y19" s="32">
        <f t="shared" si="4"/>
        <v>-9.1688000000000002E-4</v>
      </c>
      <c r="Z19" s="32">
        <f t="shared" si="4"/>
        <v>0.15668019</v>
      </c>
      <c r="AA19" s="32">
        <f t="shared" si="4"/>
        <v>9.762149999999999E-3</v>
      </c>
      <c r="AB19" s="33"/>
      <c r="AC19" s="32"/>
      <c r="AD19" s="33"/>
      <c r="AE19" s="33"/>
      <c r="AF19" s="33"/>
      <c r="AG19" s="46"/>
      <c r="AH19" s="40">
        <f t="shared" si="8"/>
        <v>0.16314165999999999</v>
      </c>
      <c r="AI19" s="52">
        <f t="shared" si="9"/>
        <v>0</v>
      </c>
      <c r="AJ19" s="3">
        <f>SUM(V12:V18)/SUM(P12:P18)*100</f>
        <v>76.666957862611682</v>
      </c>
      <c r="AK19" s="3">
        <f>SUM(X12:X18)/SUM(R12:R18)*100</f>
        <v>69.601064911101091</v>
      </c>
    </row>
    <row r="20" spans="1:39" ht="27.75" customHeight="1" x14ac:dyDescent="0.25">
      <c r="A20" s="43" t="s">
        <v>38</v>
      </c>
      <c r="B20" s="51">
        <v>1115238969.4200001</v>
      </c>
      <c r="C20" s="51">
        <v>711466.67</v>
      </c>
      <c r="D20" s="51">
        <v>26692500</v>
      </c>
      <c r="E20" s="37">
        <f t="shared" si="6"/>
        <v>1089257936.0899999</v>
      </c>
      <c r="F20" s="51">
        <v>706455196.88</v>
      </c>
      <c r="G20" s="51">
        <v>217221354.13999999</v>
      </c>
      <c r="H20" s="51">
        <v>165581385.06999999</v>
      </c>
      <c r="I20" s="31">
        <v>849178474.61000001</v>
      </c>
      <c r="J20" s="31">
        <v>0</v>
      </c>
      <c r="K20" s="31">
        <v>64847349.640000001</v>
      </c>
      <c r="L20" s="37">
        <f t="shared" si="7"/>
        <v>784331124.97000003</v>
      </c>
      <c r="M20" s="31">
        <v>529952136.49000001</v>
      </c>
      <c r="N20" s="31">
        <v>142314215.94999999</v>
      </c>
      <c r="O20" s="31">
        <v>112064772.53</v>
      </c>
      <c r="P20" s="32">
        <f t="shared" si="2"/>
        <v>1115.2389694200001</v>
      </c>
      <c r="Q20" s="32">
        <f t="shared" si="3"/>
        <v>26.692499999999999</v>
      </c>
      <c r="R20" s="32">
        <f t="shared" si="3"/>
        <v>1089.2579360899999</v>
      </c>
      <c r="S20" s="32">
        <f t="shared" si="3"/>
        <v>706.45519688000002</v>
      </c>
      <c r="T20" s="32">
        <f t="shared" si="3"/>
        <v>217.22135413999999</v>
      </c>
      <c r="U20" s="32">
        <f t="shared" si="3"/>
        <v>165.58138506999998</v>
      </c>
      <c r="V20" s="32">
        <f t="shared" si="3"/>
        <v>849.17847460999997</v>
      </c>
      <c r="W20" s="32">
        <f t="shared" si="4"/>
        <v>64.847349640000004</v>
      </c>
      <c r="X20" s="32">
        <f t="shared" si="4"/>
        <v>784.33112497000002</v>
      </c>
      <c r="Y20" s="32">
        <f t="shared" si="4"/>
        <v>529.95213649000004</v>
      </c>
      <c r="Z20" s="32">
        <f t="shared" si="4"/>
        <v>142.31421594999998</v>
      </c>
      <c r="AA20" s="32">
        <f t="shared" si="4"/>
        <v>112.06477253</v>
      </c>
      <c r="AB20" s="33">
        <f t="shared" si="11"/>
        <v>76.143185262942367</v>
      </c>
      <c r="AC20" s="33">
        <f t="shared" si="11"/>
        <v>242.94221088320694</v>
      </c>
      <c r="AD20" s="33">
        <f t="shared" si="11"/>
        <v>72.006005096041335</v>
      </c>
      <c r="AE20" s="33">
        <f t="shared" si="11"/>
        <v>75.015675279973749</v>
      </c>
      <c r="AF20" s="33">
        <f t="shared" si="11"/>
        <v>65.515757653493836</v>
      </c>
      <c r="AG20" s="46">
        <f t="shared" si="11"/>
        <v>67.679571880996349</v>
      </c>
      <c r="AH20" s="40">
        <f t="shared" si="8"/>
        <v>-304.92681111999991</v>
      </c>
      <c r="AI20" s="3">
        <f t="shared" si="9"/>
        <v>0</v>
      </c>
      <c r="AK20" s="7">
        <f>(X20+X23)/X40%</f>
        <v>80.963774918259304</v>
      </c>
      <c r="AL20" s="7">
        <f>X20/X40%</f>
        <v>47.45250165354804</v>
      </c>
      <c r="AM20" s="3">
        <f>(X20+X23)/X40</f>
        <v>0.80963774918259312</v>
      </c>
    </row>
    <row r="21" spans="1:39" x14ac:dyDescent="0.25">
      <c r="A21" s="43" t="s">
        <v>39</v>
      </c>
      <c r="B21" s="31">
        <v>710091304.25</v>
      </c>
      <c r="C21" s="31">
        <v>0</v>
      </c>
      <c r="D21" s="31">
        <v>580093000</v>
      </c>
      <c r="E21" s="37">
        <f t="shared" si="6"/>
        <v>129998304.25</v>
      </c>
      <c r="F21" s="31">
        <v>70740604.25</v>
      </c>
      <c r="G21" s="31">
        <v>59257700</v>
      </c>
      <c r="H21" s="31">
        <v>0</v>
      </c>
      <c r="I21" s="31">
        <v>445374821.58999997</v>
      </c>
      <c r="J21" s="31">
        <v>0</v>
      </c>
      <c r="K21" s="31">
        <v>393539632.27999997</v>
      </c>
      <c r="L21" s="37">
        <f t="shared" si="7"/>
        <v>51835189.310000002</v>
      </c>
      <c r="M21" s="31">
        <v>38385145.270000003</v>
      </c>
      <c r="N21" s="31">
        <v>13450044.039999999</v>
      </c>
      <c r="O21" s="31">
        <v>0</v>
      </c>
      <c r="P21" s="32">
        <f t="shared" si="2"/>
        <v>710.09130425000001</v>
      </c>
      <c r="Q21" s="32">
        <f t="shared" si="3"/>
        <v>580.09299999999996</v>
      </c>
      <c r="R21" s="32">
        <f t="shared" si="3"/>
        <v>129.99830424999999</v>
      </c>
      <c r="S21" s="32">
        <f t="shared" si="3"/>
        <v>70.740604250000004</v>
      </c>
      <c r="T21" s="32">
        <f t="shared" si="3"/>
        <v>59.2577</v>
      </c>
      <c r="U21" s="32">
        <f t="shared" si="3"/>
        <v>0</v>
      </c>
      <c r="V21" s="32">
        <f t="shared" si="3"/>
        <v>445.37482158999995</v>
      </c>
      <c r="W21" s="32">
        <f t="shared" si="4"/>
        <v>393.53963227999998</v>
      </c>
      <c r="X21" s="32">
        <f t="shared" si="4"/>
        <v>51.835189310000004</v>
      </c>
      <c r="Y21" s="32">
        <f t="shared" si="4"/>
        <v>38.385145270000002</v>
      </c>
      <c r="Z21" s="32">
        <f t="shared" si="4"/>
        <v>13.45004404</v>
      </c>
      <c r="AA21" s="32">
        <f t="shared" si="4"/>
        <v>0</v>
      </c>
      <c r="AB21" s="33">
        <f t="shared" si="11"/>
        <v>62.720782373247879</v>
      </c>
      <c r="AC21" s="33">
        <f t="shared" si="11"/>
        <v>67.840782819306568</v>
      </c>
      <c r="AD21" s="33">
        <f t="shared" si="11"/>
        <v>39.873742668454852</v>
      </c>
      <c r="AE21" s="32">
        <f t="shared" si="11"/>
        <v>54.261828375603677</v>
      </c>
      <c r="AF21" s="33">
        <f t="shared" si="11"/>
        <v>22.697546546693509</v>
      </c>
      <c r="AG21" s="45" t="s">
        <v>30</v>
      </c>
      <c r="AH21" s="40">
        <f t="shared" si="8"/>
        <v>-78.163114939999986</v>
      </c>
      <c r="AI21" s="7">
        <f t="shared" si="9"/>
        <v>0</v>
      </c>
    </row>
    <row r="22" spans="1:39" ht="26.4" x14ac:dyDescent="0.25">
      <c r="A22" s="43" t="s">
        <v>40</v>
      </c>
      <c r="B22" s="31">
        <v>339787978.56</v>
      </c>
      <c r="C22" s="31">
        <v>0</v>
      </c>
      <c r="D22" s="31">
        <v>209367451.88999999</v>
      </c>
      <c r="E22" s="37">
        <f t="shared" si="6"/>
        <v>130420526.66999999</v>
      </c>
      <c r="F22" s="31">
        <v>89814515.909999996</v>
      </c>
      <c r="G22" s="31">
        <v>14731300.85</v>
      </c>
      <c r="H22" s="31">
        <v>25874709.91</v>
      </c>
      <c r="I22" s="31">
        <v>251904386.59999999</v>
      </c>
      <c r="J22" s="31">
        <v>0</v>
      </c>
      <c r="K22" s="31">
        <v>135147178.16</v>
      </c>
      <c r="L22" s="37">
        <f t="shared" si="7"/>
        <v>116757208.44</v>
      </c>
      <c r="M22" s="31">
        <v>82699839.519999996</v>
      </c>
      <c r="N22" s="31">
        <v>14609247.810000001</v>
      </c>
      <c r="O22" s="31">
        <v>19448121.109999999</v>
      </c>
      <c r="P22" s="32">
        <f t="shared" si="2"/>
        <v>339.78797856</v>
      </c>
      <c r="Q22" s="32">
        <f t="shared" si="3"/>
        <v>209.36745188999998</v>
      </c>
      <c r="R22" s="32">
        <f t="shared" si="3"/>
        <v>130.42052666999999</v>
      </c>
      <c r="S22" s="32">
        <f t="shared" si="3"/>
        <v>89.814515909999997</v>
      </c>
      <c r="T22" s="32">
        <f t="shared" si="3"/>
        <v>14.73130085</v>
      </c>
      <c r="U22" s="32">
        <f t="shared" si="3"/>
        <v>25.87470991</v>
      </c>
      <c r="V22" s="32">
        <f t="shared" si="3"/>
        <v>251.90438659999998</v>
      </c>
      <c r="W22" s="32">
        <f t="shared" si="4"/>
        <v>135.14717816000001</v>
      </c>
      <c r="X22" s="32">
        <f t="shared" si="4"/>
        <v>116.75720844</v>
      </c>
      <c r="Y22" s="32">
        <f t="shared" si="4"/>
        <v>82.699839519999998</v>
      </c>
      <c r="Z22" s="32">
        <f t="shared" si="4"/>
        <v>14.609247810000001</v>
      </c>
      <c r="AA22" s="32">
        <f t="shared" si="4"/>
        <v>19.448121109999999</v>
      </c>
      <c r="AB22" s="33">
        <f t="shared" si="11"/>
        <v>74.135755969812379</v>
      </c>
      <c r="AC22" s="33">
        <f t="shared" si="11"/>
        <v>64.550233066315045</v>
      </c>
      <c r="AD22" s="32">
        <f t="shared" si="11"/>
        <v>89.523644338155478</v>
      </c>
      <c r="AE22" s="33">
        <f t="shared" si="11"/>
        <v>92.078478275015854</v>
      </c>
      <c r="AF22" s="32">
        <f t="shared" si="11"/>
        <v>99.171471404713046</v>
      </c>
      <c r="AG22" s="46">
        <f t="shared" si="11"/>
        <v>75.162663379208482</v>
      </c>
      <c r="AH22" s="40">
        <f t="shared" si="8"/>
        <v>-13.663318229999987</v>
      </c>
      <c r="AI22" s="3">
        <f t="shared" si="9"/>
        <v>0</v>
      </c>
    </row>
    <row r="23" spans="1:39" x14ac:dyDescent="0.25">
      <c r="A23" s="43" t="s">
        <v>41</v>
      </c>
      <c r="B23" s="31">
        <v>633881528.95000005</v>
      </c>
      <c r="C23" s="31">
        <v>0</v>
      </c>
      <c r="D23" s="31">
        <v>9700000</v>
      </c>
      <c r="E23" s="37">
        <f t="shared" si="6"/>
        <v>624181528.95000005</v>
      </c>
      <c r="F23" s="31">
        <v>435496819</v>
      </c>
      <c r="G23" s="31">
        <v>138944786</v>
      </c>
      <c r="H23" s="31">
        <v>49739923.950000003</v>
      </c>
      <c r="I23" s="31">
        <v>557370846.08000004</v>
      </c>
      <c r="J23" s="31">
        <v>0</v>
      </c>
      <c r="K23" s="31">
        <v>3470972.67</v>
      </c>
      <c r="L23" s="37">
        <f t="shared" si="7"/>
        <v>553899873.40999997</v>
      </c>
      <c r="M23" s="31">
        <v>383424137.5</v>
      </c>
      <c r="N23" s="31">
        <v>140497006.63</v>
      </c>
      <c r="O23" s="31">
        <v>29978729.280000001</v>
      </c>
      <c r="P23" s="32">
        <f t="shared" si="2"/>
        <v>633.88152895000007</v>
      </c>
      <c r="Q23" s="32">
        <f t="shared" si="3"/>
        <v>9.6999999999999993</v>
      </c>
      <c r="R23" s="32">
        <f t="shared" si="3"/>
        <v>624.18152895000003</v>
      </c>
      <c r="S23" s="32">
        <f t="shared" si="3"/>
        <v>435.49681900000002</v>
      </c>
      <c r="T23" s="32">
        <f t="shared" si="3"/>
        <v>138.94478599999999</v>
      </c>
      <c r="U23" s="32">
        <f t="shared" si="3"/>
        <v>49.739923950000005</v>
      </c>
      <c r="V23" s="32">
        <f t="shared" si="3"/>
        <v>557.37084608000009</v>
      </c>
      <c r="W23" s="32">
        <f t="shared" si="4"/>
        <v>3.4709726700000001</v>
      </c>
      <c r="X23" s="32">
        <f t="shared" si="4"/>
        <v>553.89987340999994</v>
      </c>
      <c r="Y23" s="32">
        <f t="shared" si="4"/>
        <v>383.42413749999997</v>
      </c>
      <c r="Z23" s="32">
        <f t="shared" si="4"/>
        <v>140.49700662999999</v>
      </c>
      <c r="AA23" s="32">
        <f t="shared" si="4"/>
        <v>29.97872928</v>
      </c>
      <c r="AB23" s="33">
        <f t="shared" si="11"/>
        <v>87.929813478437055</v>
      </c>
      <c r="AC23" s="33">
        <f t="shared" si="11"/>
        <v>35.783223402061857</v>
      </c>
      <c r="AD23" s="33">
        <f>X23/R23%</f>
        <v>88.740189787700373</v>
      </c>
      <c r="AE23" s="33">
        <f>Y23/S23%</f>
        <v>88.042924947288753</v>
      </c>
      <c r="AF23" s="33">
        <f>Z23/T23%</f>
        <v>101.11714924660792</v>
      </c>
      <c r="AG23" s="46">
        <f>AA23/U23%</f>
        <v>60.270959220073351</v>
      </c>
      <c r="AH23" s="40">
        <f t="shared" si="8"/>
        <v>-70.281655540000088</v>
      </c>
      <c r="AI23" s="3">
        <f t="shared" si="9"/>
        <v>0</v>
      </c>
      <c r="AL23" s="7">
        <f>X23/X40%</f>
        <v>33.511273264711264</v>
      </c>
    </row>
    <row r="24" spans="1:39" x14ac:dyDescent="0.25">
      <c r="A24" s="43" t="s">
        <v>42</v>
      </c>
      <c r="B24" s="31">
        <v>610500</v>
      </c>
      <c r="C24" s="31">
        <v>0</v>
      </c>
      <c r="D24" s="31">
        <v>560500</v>
      </c>
      <c r="E24" s="37">
        <f t="shared" si="6"/>
        <v>50000</v>
      </c>
      <c r="F24" s="31">
        <v>0</v>
      </c>
      <c r="G24" s="31">
        <v>0</v>
      </c>
      <c r="H24" s="31">
        <v>50000</v>
      </c>
      <c r="I24" s="31">
        <v>1075587.6100000001</v>
      </c>
      <c r="J24" s="31">
        <v>0</v>
      </c>
      <c r="K24" s="31">
        <v>1021938</v>
      </c>
      <c r="L24" s="37">
        <f t="shared" si="7"/>
        <v>53649.61</v>
      </c>
      <c r="M24" s="31">
        <v>0</v>
      </c>
      <c r="N24" s="31">
        <v>0</v>
      </c>
      <c r="O24" s="31">
        <v>53649.61</v>
      </c>
      <c r="P24" s="32">
        <f t="shared" si="2"/>
        <v>0.61050000000000004</v>
      </c>
      <c r="Q24" s="32">
        <f t="shared" si="3"/>
        <v>0.5605</v>
      </c>
      <c r="R24" s="32">
        <f t="shared" si="3"/>
        <v>0.05</v>
      </c>
      <c r="S24" s="32">
        <f t="shared" si="3"/>
        <v>0</v>
      </c>
      <c r="T24" s="32">
        <f t="shared" si="3"/>
        <v>0</v>
      </c>
      <c r="U24" s="32">
        <f t="shared" si="3"/>
        <v>0.05</v>
      </c>
      <c r="V24" s="32">
        <f t="shared" si="3"/>
        <v>1.0755876100000001</v>
      </c>
      <c r="W24" s="32">
        <f t="shared" si="4"/>
        <v>1.021938</v>
      </c>
      <c r="X24" s="32">
        <f t="shared" si="4"/>
        <v>5.364961E-2</v>
      </c>
      <c r="Y24" s="32">
        <f t="shared" si="4"/>
        <v>0</v>
      </c>
      <c r="Z24" s="32">
        <f t="shared" si="4"/>
        <v>0</v>
      </c>
      <c r="AA24" s="32">
        <f t="shared" si="4"/>
        <v>5.364961E-2</v>
      </c>
      <c r="AB24" s="32">
        <f t="shared" si="11"/>
        <v>176.18142669942671</v>
      </c>
      <c r="AC24" s="32">
        <f t="shared" si="11"/>
        <v>182.32613737734167</v>
      </c>
      <c r="AD24" s="32">
        <f>X24/R24%</f>
        <v>107.29922000000001</v>
      </c>
      <c r="AE24" s="44" t="s">
        <v>30</v>
      </c>
      <c r="AF24" s="44" t="s">
        <v>30</v>
      </c>
      <c r="AG24" s="34">
        <f>AA24/U24%</f>
        <v>107.29922000000001</v>
      </c>
      <c r="AH24" s="40">
        <f t="shared" si="8"/>
        <v>3.6496099999999976E-3</v>
      </c>
      <c r="AI24" s="3">
        <f t="shared" si="9"/>
        <v>1.2490009027033011E-16</v>
      </c>
    </row>
    <row r="25" spans="1:39" x14ac:dyDescent="0.25">
      <c r="A25" s="43" t="s">
        <v>43</v>
      </c>
      <c r="B25" s="31">
        <v>506132934.80000001</v>
      </c>
      <c r="C25" s="31">
        <v>0</v>
      </c>
      <c r="D25" s="31">
        <v>355903000</v>
      </c>
      <c r="E25" s="37">
        <f t="shared" si="6"/>
        <v>150229934.79999998</v>
      </c>
      <c r="F25" s="31">
        <v>113916983.89</v>
      </c>
      <c r="G25" s="31">
        <v>32678559.18</v>
      </c>
      <c r="H25" s="31">
        <v>3634391.73</v>
      </c>
      <c r="I25" s="31">
        <v>406127019.55000001</v>
      </c>
      <c r="J25" s="31">
        <v>0</v>
      </c>
      <c r="K25" s="31">
        <v>271791342.05000001</v>
      </c>
      <c r="L25" s="37">
        <f t="shared" si="7"/>
        <v>134335677.5</v>
      </c>
      <c r="M25" s="31">
        <v>102049205.26000001</v>
      </c>
      <c r="N25" s="31">
        <v>26409084.52</v>
      </c>
      <c r="O25" s="31">
        <v>5877387.7200000007</v>
      </c>
      <c r="P25" s="32">
        <f t="shared" si="2"/>
        <v>506.13293479999999</v>
      </c>
      <c r="Q25" s="32">
        <f t="shared" si="3"/>
        <v>355.90300000000002</v>
      </c>
      <c r="R25" s="32">
        <f t="shared" si="3"/>
        <v>150.2299348</v>
      </c>
      <c r="S25" s="32">
        <f t="shared" si="3"/>
        <v>113.91698389</v>
      </c>
      <c r="T25" s="32">
        <f t="shared" si="3"/>
        <v>32.678559180000001</v>
      </c>
      <c r="U25" s="32">
        <f t="shared" si="3"/>
        <v>3.6343917299999999</v>
      </c>
      <c r="V25" s="32">
        <f t="shared" si="3"/>
        <v>406.12701955</v>
      </c>
      <c r="W25" s="32">
        <f t="shared" si="4"/>
        <v>271.79134205000003</v>
      </c>
      <c r="X25" s="32">
        <f t="shared" si="4"/>
        <v>134.3356775</v>
      </c>
      <c r="Y25" s="32">
        <f t="shared" si="4"/>
        <v>102.04920526000001</v>
      </c>
      <c r="Z25" s="32">
        <f t="shared" si="4"/>
        <v>26.40908452</v>
      </c>
      <c r="AA25" s="32">
        <f t="shared" si="4"/>
        <v>5.8773877200000006</v>
      </c>
      <c r="AB25" s="32">
        <f t="shared" si="11"/>
        <v>80.241176107317017</v>
      </c>
      <c r="AC25" s="32">
        <f t="shared" si="11"/>
        <v>76.366690376310402</v>
      </c>
      <c r="AD25" s="32">
        <f t="shared" si="11"/>
        <v>89.420046463336419</v>
      </c>
      <c r="AE25" s="32">
        <f t="shared" si="11"/>
        <v>89.582081420396719</v>
      </c>
      <c r="AF25" s="32">
        <f t="shared" si="11"/>
        <v>80.814715160890401</v>
      </c>
      <c r="AG25" s="34">
        <f t="shared" si="11"/>
        <v>161.71585664487523</v>
      </c>
      <c r="AH25" s="40">
        <f t="shared" si="8"/>
        <v>-15.894257299999992</v>
      </c>
      <c r="AI25" s="3">
        <f t="shared" si="9"/>
        <v>0</v>
      </c>
    </row>
    <row r="26" spans="1:39" x14ac:dyDescent="0.25">
      <c r="A26" s="43" t="s">
        <v>44</v>
      </c>
      <c r="B26" s="31">
        <v>13935195.710000001</v>
      </c>
      <c r="C26" s="31">
        <v>0</v>
      </c>
      <c r="D26" s="31">
        <v>0</v>
      </c>
      <c r="E26" s="37">
        <f t="shared" si="6"/>
        <v>13935195.710000001</v>
      </c>
      <c r="F26" s="31">
        <v>6086454.7999999998</v>
      </c>
      <c r="G26" s="31">
        <v>1600000</v>
      </c>
      <c r="H26" s="31">
        <v>6248740.9100000001</v>
      </c>
      <c r="I26" s="36">
        <v>14853871.93</v>
      </c>
      <c r="J26" s="36">
        <v>0</v>
      </c>
      <c r="K26" s="36">
        <v>3190355.48</v>
      </c>
      <c r="L26" s="37">
        <f t="shared" si="7"/>
        <v>11663516.449999999</v>
      </c>
      <c r="M26" s="31">
        <v>4440756.41</v>
      </c>
      <c r="N26" s="31">
        <v>1684245.38</v>
      </c>
      <c r="O26" s="31">
        <v>5538514.6600000001</v>
      </c>
      <c r="P26" s="32">
        <f t="shared" si="2"/>
        <v>13.93519571</v>
      </c>
      <c r="Q26" s="32">
        <f t="shared" ref="Q26:V38" si="12">D26/1000000</f>
        <v>0</v>
      </c>
      <c r="R26" s="32">
        <f t="shared" si="12"/>
        <v>13.93519571</v>
      </c>
      <c r="S26" s="32">
        <f t="shared" si="12"/>
        <v>6.0864547999999994</v>
      </c>
      <c r="T26" s="32">
        <f t="shared" si="12"/>
        <v>1.6</v>
      </c>
      <c r="U26" s="32">
        <f t="shared" si="12"/>
        <v>6.2487409100000004</v>
      </c>
      <c r="V26" s="32">
        <f t="shared" si="12"/>
        <v>14.85387193</v>
      </c>
      <c r="W26" s="32">
        <f t="shared" si="4"/>
        <v>3.19035548</v>
      </c>
      <c r="X26" s="53">
        <f t="shared" si="4"/>
        <v>11.663516449999999</v>
      </c>
      <c r="Y26" s="32">
        <f t="shared" si="4"/>
        <v>4.4407564100000005</v>
      </c>
      <c r="Z26" s="32">
        <f t="shared" si="4"/>
        <v>1.6842453799999999</v>
      </c>
      <c r="AA26" s="32">
        <f t="shared" si="4"/>
        <v>5.5385146600000006</v>
      </c>
      <c r="AB26" s="32">
        <f t="shared" si="11"/>
        <v>106.59248882554805</v>
      </c>
      <c r="AC26" s="54" t="s">
        <v>30</v>
      </c>
      <c r="AD26" s="32">
        <f>X26/R26%</f>
        <v>83.698260811867698</v>
      </c>
      <c r="AE26" s="32">
        <f>Y26/S26%</f>
        <v>72.96129776565499</v>
      </c>
      <c r="AF26" s="54" t="s">
        <v>30</v>
      </c>
      <c r="AG26" s="34">
        <f>AA26/U26%</f>
        <v>88.634090287478415</v>
      </c>
      <c r="AH26" s="40">
        <f t="shared" si="8"/>
        <v>-2.2716792600000009</v>
      </c>
      <c r="AI26" s="55">
        <f t="shared" si="9"/>
        <v>0</v>
      </c>
      <c r="AJ26" s="55">
        <f>AI26*1000</f>
        <v>0</v>
      </c>
    </row>
    <row r="27" spans="1:39" s="60" customFormat="1" hidden="1" x14ac:dyDescent="0.25">
      <c r="A27" s="56" t="s">
        <v>45</v>
      </c>
      <c r="B27" s="180">
        <v>1000</v>
      </c>
      <c r="C27" s="180">
        <v>0</v>
      </c>
      <c r="D27" s="180">
        <v>0</v>
      </c>
      <c r="E27" s="37">
        <f t="shared" si="6"/>
        <v>1000</v>
      </c>
      <c r="F27" s="180">
        <v>1000</v>
      </c>
      <c r="G27" s="180">
        <v>0</v>
      </c>
      <c r="H27" s="180">
        <v>0</v>
      </c>
      <c r="I27" s="180">
        <v>3302606.12</v>
      </c>
      <c r="J27" s="180">
        <v>0</v>
      </c>
      <c r="K27" s="180">
        <v>3158957.5</v>
      </c>
      <c r="L27" s="37">
        <f t="shared" si="7"/>
        <v>143648.62</v>
      </c>
      <c r="M27" s="180">
        <v>-69361.66</v>
      </c>
      <c r="N27" s="180">
        <v>163799.04000000001</v>
      </c>
      <c r="O27" s="180">
        <v>49211.240000000005</v>
      </c>
      <c r="P27" s="57">
        <f t="shared" si="2"/>
        <v>1E-3</v>
      </c>
      <c r="Q27" s="57"/>
      <c r="R27" s="57">
        <f t="shared" si="12"/>
        <v>1E-3</v>
      </c>
      <c r="S27" s="57">
        <f t="shared" si="12"/>
        <v>1E-3</v>
      </c>
      <c r="T27" s="57"/>
      <c r="U27" s="57">
        <f>H27/1000000</f>
        <v>0</v>
      </c>
      <c r="V27" s="57">
        <f t="shared" si="12"/>
        <v>3.3026061200000001</v>
      </c>
      <c r="W27" s="57">
        <f t="shared" si="4"/>
        <v>3.1589575000000001</v>
      </c>
      <c r="X27" s="57">
        <f t="shared" si="4"/>
        <v>0.14364862</v>
      </c>
      <c r="Y27" s="57">
        <f t="shared" si="4"/>
        <v>-6.9361660000000006E-2</v>
      </c>
      <c r="Z27" s="57">
        <f t="shared" si="4"/>
        <v>0.16379904000000001</v>
      </c>
      <c r="AA27" s="57">
        <f t="shared" si="4"/>
        <v>4.9211240000000003E-2</v>
      </c>
      <c r="AB27" s="57"/>
      <c r="AC27" s="57"/>
      <c r="AD27" s="57"/>
      <c r="AE27" s="57"/>
      <c r="AF27" s="57"/>
      <c r="AG27" s="58"/>
      <c r="AH27" s="181">
        <f t="shared" si="8"/>
        <v>0.14264862</v>
      </c>
      <c r="AI27" s="59">
        <f t="shared" si="9"/>
        <v>0</v>
      </c>
      <c r="AJ27" s="60">
        <f>AI27*1000</f>
        <v>0</v>
      </c>
    </row>
    <row r="28" spans="1:39" s="66" customFormat="1" ht="26.4" hidden="1" x14ac:dyDescent="0.25">
      <c r="A28" s="43" t="s">
        <v>46</v>
      </c>
      <c r="B28" s="61"/>
      <c r="C28" s="61"/>
      <c r="D28" s="61"/>
      <c r="E28" s="62">
        <f>F28+G28+H28</f>
        <v>0</v>
      </c>
      <c r="F28" s="61"/>
      <c r="G28" s="61"/>
      <c r="H28" s="61"/>
      <c r="I28" s="61"/>
      <c r="J28" s="61"/>
      <c r="K28" s="61"/>
      <c r="L28" s="37">
        <f t="shared" si="7"/>
        <v>0</v>
      </c>
      <c r="M28" s="61"/>
      <c r="N28" s="61"/>
      <c r="O28" s="61"/>
      <c r="P28" s="32">
        <f t="shared" si="2"/>
        <v>0</v>
      </c>
      <c r="Q28" s="32">
        <f t="shared" ref="Q28:Q37" si="13">D28/1000000</f>
        <v>0</v>
      </c>
      <c r="R28" s="32">
        <f t="shared" si="12"/>
        <v>0</v>
      </c>
      <c r="S28" s="32">
        <f t="shared" si="12"/>
        <v>0</v>
      </c>
      <c r="T28" s="32">
        <f t="shared" si="12"/>
        <v>0</v>
      </c>
      <c r="U28" s="32">
        <f t="shared" si="12"/>
        <v>0</v>
      </c>
      <c r="V28" s="32">
        <f t="shared" si="12"/>
        <v>0</v>
      </c>
      <c r="W28" s="32">
        <f t="shared" si="4"/>
        <v>0</v>
      </c>
      <c r="X28" s="63">
        <f t="shared" si="4"/>
        <v>0</v>
      </c>
      <c r="Y28" s="32">
        <f t="shared" si="4"/>
        <v>0</v>
      </c>
      <c r="Z28" s="32">
        <f t="shared" si="4"/>
        <v>0</v>
      </c>
      <c r="AA28" s="63">
        <f t="shared" si="4"/>
        <v>0</v>
      </c>
      <c r="AB28" s="64" t="s">
        <v>30</v>
      </c>
      <c r="AC28" s="54" t="s">
        <v>30</v>
      </c>
      <c r="AD28" s="64" t="s">
        <v>30</v>
      </c>
      <c r="AE28" s="64" t="s">
        <v>30</v>
      </c>
      <c r="AF28" s="54" t="s">
        <v>30</v>
      </c>
      <c r="AG28" s="50" t="s">
        <v>30</v>
      </c>
      <c r="AH28" s="40">
        <f t="shared" si="8"/>
        <v>0</v>
      </c>
      <c r="AI28" s="65"/>
    </row>
    <row r="29" spans="1:39" s="42" customFormat="1" x14ac:dyDescent="0.25">
      <c r="A29" s="35" t="s">
        <v>47</v>
      </c>
      <c r="B29" s="36">
        <v>16974575940.200001</v>
      </c>
      <c r="C29" s="36">
        <v>21093698185.509998</v>
      </c>
      <c r="D29" s="36">
        <v>17062493061.469999</v>
      </c>
      <c r="E29" s="67">
        <f>F29+G29+H29-E131</f>
        <v>19721737711.039997</v>
      </c>
      <c r="F29" s="36">
        <v>9496826198.6299992</v>
      </c>
      <c r="G29" s="36">
        <v>10338636689.08</v>
      </c>
      <c r="H29" s="36">
        <v>1170318176.53</v>
      </c>
      <c r="I29" s="36">
        <v>12639353557.17</v>
      </c>
      <c r="J29" s="36">
        <v>14775638550.02</v>
      </c>
      <c r="K29" s="36">
        <v>12722280035.040001</v>
      </c>
      <c r="L29" s="67">
        <f>M29+N29+O29-L131</f>
        <v>13920035699.34</v>
      </c>
      <c r="M29" s="36">
        <v>6416144168.5600004</v>
      </c>
      <c r="N29" s="36">
        <v>7587201927.7399998</v>
      </c>
      <c r="O29" s="36">
        <v>689365975.85000002</v>
      </c>
      <c r="P29" s="38">
        <f t="shared" si="2"/>
        <v>16974.5759402</v>
      </c>
      <c r="Q29" s="38">
        <f t="shared" si="13"/>
        <v>17062.493061469999</v>
      </c>
      <c r="R29" s="38">
        <f t="shared" si="12"/>
        <v>19721.737711039998</v>
      </c>
      <c r="S29" s="38">
        <f t="shared" si="12"/>
        <v>9496.8261986299985</v>
      </c>
      <c r="T29" s="38">
        <f t="shared" si="12"/>
        <v>10338.63668908</v>
      </c>
      <c r="U29" s="38">
        <f t="shared" si="12"/>
        <v>1170.3181765300001</v>
      </c>
      <c r="V29" s="38">
        <f t="shared" si="12"/>
        <v>12639.353557169999</v>
      </c>
      <c r="W29" s="38">
        <f t="shared" si="4"/>
        <v>12722.280035040001</v>
      </c>
      <c r="X29" s="38">
        <f t="shared" si="4"/>
        <v>13920.03569934</v>
      </c>
      <c r="Y29" s="38">
        <f t="shared" si="4"/>
        <v>6416.1441685600003</v>
      </c>
      <c r="Z29" s="38">
        <f t="shared" si="4"/>
        <v>7587.2019277399995</v>
      </c>
      <c r="AA29" s="38">
        <f t="shared" si="4"/>
        <v>689.36597585000004</v>
      </c>
      <c r="AB29" s="38">
        <f t="shared" si="11"/>
        <v>74.460496696337955</v>
      </c>
      <c r="AC29" s="38">
        <f t="shared" si="11"/>
        <v>74.562843713437545</v>
      </c>
      <c r="AD29" s="38">
        <f t="shared" si="11"/>
        <v>70.582196677059173</v>
      </c>
      <c r="AE29" s="38">
        <f t="shared" si="11"/>
        <v>67.560930718997326</v>
      </c>
      <c r="AF29" s="38">
        <f t="shared" si="11"/>
        <v>73.386870589560857</v>
      </c>
      <c r="AG29" s="39">
        <f t="shared" si="11"/>
        <v>58.904150142653862</v>
      </c>
      <c r="AH29" s="40"/>
      <c r="AI29" s="68">
        <f>V29-W29-X29</f>
        <v>-14002.962177210002</v>
      </c>
      <c r="AJ29" s="42">
        <f>AI29*1000</f>
        <v>-14002962.177210001</v>
      </c>
    </row>
    <row r="30" spans="1:39" s="77" customFormat="1" hidden="1" x14ac:dyDescent="0.25">
      <c r="A30" s="69" t="s">
        <v>48</v>
      </c>
      <c r="B30" s="70"/>
      <c r="C30" s="70"/>
      <c r="D30" s="70"/>
      <c r="E30" s="71"/>
      <c r="F30" s="70"/>
      <c r="G30" s="70"/>
      <c r="H30" s="70"/>
      <c r="I30" s="72"/>
      <c r="J30" s="72"/>
      <c r="K30" s="72"/>
      <c r="L30" s="71"/>
      <c r="M30" s="70"/>
      <c r="N30" s="70"/>
      <c r="O30" s="70"/>
      <c r="P30" s="63">
        <f>B30/1000000</f>
        <v>0</v>
      </c>
      <c r="Q30" s="63">
        <f t="shared" si="13"/>
        <v>0</v>
      </c>
      <c r="R30" s="63">
        <f>E30/1000000</f>
        <v>0</v>
      </c>
      <c r="S30" s="63">
        <f>F30/1000000</f>
        <v>0</v>
      </c>
      <c r="T30" s="63">
        <f>G30/1000000</f>
        <v>0</v>
      </c>
      <c r="U30" s="63">
        <f>H30/1000000</f>
        <v>0</v>
      </c>
      <c r="V30" s="63">
        <f>I30/1000000</f>
        <v>0</v>
      </c>
      <c r="W30" s="63">
        <f>K30/1000000</f>
        <v>0</v>
      </c>
      <c r="X30" s="63">
        <f>L30/1000000</f>
        <v>0</v>
      </c>
      <c r="Y30" s="63">
        <f>M30/1000000</f>
        <v>0</v>
      </c>
      <c r="Z30" s="63">
        <f>N30/1000000</f>
        <v>0</v>
      </c>
      <c r="AA30" s="63">
        <f>O30/1000000</f>
        <v>0</v>
      </c>
      <c r="AB30" s="64" t="s">
        <v>30</v>
      </c>
      <c r="AC30" s="64" t="s">
        <v>30</v>
      </c>
      <c r="AD30" s="64" t="s">
        <v>30</v>
      </c>
      <c r="AE30" s="64" t="s">
        <v>30</v>
      </c>
      <c r="AF30" s="64" t="s">
        <v>30</v>
      </c>
      <c r="AG30" s="73" t="s">
        <v>30</v>
      </c>
      <c r="AH30" s="74"/>
      <c r="AI30" s="75"/>
      <c r="AJ30" s="76"/>
    </row>
    <row r="31" spans="1:39" x14ac:dyDescent="0.25">
      <c r="A31" s="43" t="s">
        <v>49</v>
      </c>
      <c r="B31" s="31">
        <v>16130813933.360001</v>
      </c>
      <c r="C31" s="31">
        <v>21093698185.509998</v>
      </c>
      <c r="D31" s="31">
        <v>16130813933.360001</v>
      </c>
      <c r="E31" s="78">
        <f>F31+G31+H31-G131-H131</f>
        <v>19809654832.309998</v>
      </c>
      <c r="F31" s="51">
        <v>9553276810.9500008</v>
      </c>
      <c r="G31" s="51">
        <v>10351200031.65</v>
      </c>
      <c r="H31" s="51">
        <v>1189221342.9100001</v>
      </c>
      <c r="I31" s="36">
        <v>11816387798.719999</v>
      </c>
      <c r="J31" s="36">
        <v>14775638550.02</v>
      </c>
      <c r="K31" s="36">
        <v>11816387798.719999</v>
      </c>
      <c r="L31" s="78">
        <f>M31+N31+O31-N131-O131</f>
        <v>14002962177.209997</v>
      </c>
      <c r="M31" s="31">
        <v>6472572096.9099998</v>
      </c>
      <c r="N31" s="31">
        <v>7595649603.71</v>
      </c>
      <c r="O31" s="31">
        <v>707416849.39999998</v>
      </c>
      <c r="P31" s="32">
        <f t="shared" si="2"/>
        <v>16130.813933360001</v>
      </c>
      <c r="Q31" s="32">
        <f t="shared" si="13"/>
        <v>16130.813933360001</v>
      </c>
      <c r="R31" s="32">
        <f t="shared" si="12"/>
        <v>19809.654832309996</v>
      </c>
      <c r="S31" s="32">
        <f t="shared" si="12"/>
        <v>9553.2768109500012</v>
      </c>
      <c r="T31" s="32">
        <f t="shared" si="12"/>
        <v>10351.20003165</v>
      </c>
      <c r="U31" s="32">
        <f t="shared" si="12"/>
        <v>1189.22134291</v>
      </c>
      <c r="V31" s="32">
        <f t="shared" si="12"/>
        <v>11816.387798719999</v>
      </c>
      <c r="W31" s="32">
        <f t="shared" si="4"/>
        <v>11816.387798719999</v>
      </c>
      <c r="X31" s="32">
        <f t="shared" si="4"/>
        <v>14002.962177209996</v>
      </c>
      <c r="Y31" s="32">
        <f t="shared" si="4"/>
        <v>6472.5720969100003</v>
      </c>
      <c r="Z31" s="32">
        <f t="shared" si="4"/>
        <v>7595.6496037099996</v>
      </c>
      <c r="AA31" s="32">
        <f t="shared" si="4"/>
        <v>707.41684939999993</v>
      </c>
      <c r="AB31" s="32">
        <f t="shared" si="11"/>
        <v>73.253512485706793</v>
      </c>
      <c r="AC31" s="32">
        <f t="shared" si="11"/>
        <v>73.253512485706793</v>
      </c>
      <c r="AD31" s="32">
        <f t="shared" si="11"/>
        <v>70.687562684690732</v>
      </c>
      <c r="AE31" s="32">
        <f t="shared" si="11"/>
        <v>67.752376749840579</v>
      </c>
      <c r="AF31" s="32">
        <f t="shared" si="11"/>
        <v>73.379410894248167</v>
      </c>
      <c r="AG31" s="34">
        <f t="shared" si="11"/>
        <v>59.485717576255865</v>
      </c>
      <c r="AH31" s="30"/>
      <c r="AI31" s="7">
        <f>V31-W31-X31</f>
        <v>-14002.962177209996</v>
      </c>
      <c r="AJ31" s="3">
        <f>AI31*1000</f>
        <v>-14002962.177209996</v>
      </c>
      <c r="AK31" s="2">
        <f>AJ31-J31</f>
        <v>-14789641512.19721</v>
      </c>
    </row>
    <row r="32" spans="1:39" ht="26.4" x14ac:dyDescent="0.25">
      <c r="A32" s="43" t="s">
        <v>50</v>
      </c>
      <c r="B32" s="31">
        <v>853667832.28999996</v>
      </c>
      <c r="C32" s="31">
        <v>0</v>
      </c>
      <c r="D32" s="31">
        <v>853567832.28999996</v>
      </c>
      <c r="E32" s="78">
        <f>F32+G32+H32</f>
        <v>100000</v>
      </c>
      <c r="F32" s="51">
        <v>0</v>
      </c>
      <c r="G32" s="51">
        <v>0</v>
      </c>
      <c r="H32" s="51">
        <v>100000</v>
      </c>
      <c r="I32" s="36">
        <v>754829584.19000006</v>
      </c>
      <c r="J32" s="36">
        <v>0</v>
      </c>
      <c r="K32" s="36">
        <v>754829584.19000006</v>
      </c>
      <c r="L32" s="78">
        <f>M32+N32+O32</f>
        <v>0</v>
      </c>
      <c r="M32" s="31">
        <v>0</v>
      </c>
      <c r="N32" s="31">
        <v>0</v>
      </c>
      <c r="O32" s="31">
        <v>0</v>
      </c>
      <c r="P32" s="32">
        <f>B32/1000000</f>
        <v>853.66783228999998</v>
      </c>
      <c r="Q32" s="32">
        <f t="shared" si="13"/>
        <v>853.56783228999996</v>
      </c>
      <c r="R32" s="32">
        <f t="shared" si="12"/>
        <v>0.1</v>
      </c>
      <c r="S32" s="32">
        <f t="shared" si="12"/>
        <v>0</v>
      </c>
      <c r="T32" s="32">
        <f t="shared" si="12"/>
        <v>0</v>
      </c>
      <c r="U32" s="32">
        <f t="shared" si="12"/>
        <v>0.1</v>
      </c>
      <c r="V32" s="32">
        <f t="shared" si="12"/>
        <v>754.82958419000011</v>
      </c>
      <c r="W32" s="32">
        <f t="shared" si="4"/>
        <v>754.82958419000011</v>
      </c>
      <c r="X32" s="32">
        <f t="shared" si="4"/>
        <v>0</v>
      </c>
      <c r="Y32" s="32">
        <f t="shared" si="4"/>
        <v>0</v>
      </c>
      <c r="Z32" s="32">
        <f t="shared" si="4"/>
        <v>0</v>
      </c>
      <c r="AA32" s="32">
        <f t="shared" si="4"/>
        <v>0</v>
      </c>
      <c r="AB32" s="32">
        <f>V32/P32%</f>
        <v>88.421931299102354</v>
      </c>
      <c r="AC32" s="32">
        <f>W32/Q32%</f>
        <v>88.432290397460363</v>
      </c>
      <c r="AD32" s="54" t="s">
        <v>30</v>
      </c>
      <c r="AE32" s="54" t="s">
        <v>30</v>
      </c>
      <c r="AF32" s="54" t="s">
        <v>30</v>
      </c>
      <c r="AG32" s="50" t="s">
        <v>30</v>
      </c>
      <c r="AH32" s="30"/>
      <c r="AI32" s="7">
        <f>V32-W32-X32</f>
        <v>0</v>
      </c>
      <c r="AJ32" s="3">
        <f t="shared" ref="AJ32:AJ38" si="14">AI32*1000</f>
        <v>0</v>
      </c>
    </row>
    <row r="33" spans="1:37" s="79" customFormat="1" ht="26.4" x14ac:dyDescent="0.25">
      <c r="A33" s="43" t="s">
        <v>51</v>
      </c>
      <c r="B33" s="31">
        <v>2562978.4500000002</v>
      </c>
      <c r="C33" s="31">
        <v>0</v>
      </c>
      <c r="D33" s="31">
        <v>825000</v>
      </c>
      <c r="E33" s="78">
        <f>F33+G33+H33</f>
        <v>1737978.45</v>
      </c>
      <c r="F33" s="51">
        <v>0</v>
      </c>
      <c r="G33" s="51">
        <v>960320</v>
      </c>
      <c r="H33" s="51">
        <v>777658.45</v>
      </c>
      <c r="I33" s="31">
        <v>2562978.4500000002</v>
      </c>
      <c r="J33" s="31">
        <v>0</v>
      </c>
      <c r="K33" s="31">
        <v>825000</v>
      </c>
      <c r="L33" s="78">
        <f>M33+N33+O33</f>
        <v>1737978.45</v>
      </c>
      <c r="M33" s="31">
        <v>0</v>
      </c>
      <c r="N33" s="31">
        <v>960320</v>
      </c>
      <c r="O33" s="31">
        <v>777658.45</v>
      </c>
      <c r="P33" s="33">
        <f>B33/1000000</f>
        <v>2.5629784500000001</v>
      </c>
      <c r="Q33" s="33">
        <f t="shared" si="13"/>
        <v>0.82499999999999996</v>
      </c>
      <c r="R33" s="33">
        <f>E33/1000000</f>
        <v>1.73797845</v>
      </c>
      <c r="S33" s="33">
        <f>F33/1000000</f>
        <v>0</v>
      </c>
      <c r="T33" s="33">
        <f>G33/1000000</f>
        <v>0.96031999999999995</v>
      </c>
      <c r="U33" s="33">
        <f>H33/1000000</f>
        <v>0.77765845</v>
      </c>
      <c r="V33" s="33">
        <f>I33/1000000</f>
        <v>2.5629784500000001</v>
      </c>
      <c r="W33" s="33">
        <f t="shared" si="4"/>
        <v>0.82499999999999996</v>
      </c>
      <c r="X33" s="33">
        <f t="shared" si="4"/>
        <v>1.73797845</v>
      </c>
      <c r="Y33" s="33">
        <f t="shared" si="4"/>
        <v>0</v>
      </c>
      <c r="Z33" s="33">
        <f t="shared" si="4"/>
        <v>0.96031999999999995</v>
      </c>
      <c r="AA33" s="33">
        <f t="shared" si="4"/>
        <v>0.77765845</v>
      </c>
      <c r="AB33" s="33">
        <f>V33/P33%</f>
        <v>100</v>
      </c>
      <c r="AC33" s="54" t="s">
        <v>30</v>
      </c>
      <c r="AD33" s="33">
        <f>X33/R33%</f>
        <v>100</v>
      </c>
      <c r="AE33" s="54" t="s">
        <v>30</v>
      </c>
      <c r="AF33" s="32">
        <f>Z33/T33%</f>
        <v>100</v>
      </c>
      <c r="AG33" s="50" t="s">
        <v>30</v>
      </c>
      <c r="AH33" s="30"/>
      <c r="AI33" s="7">
        <f>V33-W33-X33</f>
        <v>0</v>
      </c>
      <c r="AJ33" s="3">
        <f t="shared" si="14"/>
        <v>0</v>
      </c>
    </row>
    <row r="34" spans="1:37" x14ac:dyDescent="0.25">
      <c r="A34" s="43" t="s">
        <v>52</v>
      </c>
      <c r="B34" s="31">
        <v>92306587.420000002</v>
      </c>
      <c r="C34" s="31">
        <v>0</v>
      </c>
      <c r="D34" s="31">
        <v>52040019.240000002</v>
      </c>
      <c r="E34" s="78">
        <f>F34+G34+H34</f>
        <v>40266568.18</v>
      </c>
      <c r="F34" s="31">
        <v>11535010.449999999</v>
      </c>
      <c r="G34" s="31">
        <v>22247957.800000001</v>
      </c>
      <c r="H34" s="31">
        <v>6483599.9299999997</v>
      </c>
      <c r="I34" s="51">
        <v>96689776.849999994</v>
      </c>
      <c r="J34" s="51">
        <v>0</v>
      </c>
      <c r="K34" s="51">
        <v>52040019.240000002</v>
      </c>
      <c r="L34" s="78">
        <f>M34+N34+O34</f>
        <v>44649757.609999992</v>
      </c>
      <c r="M34" s="51">
        <v>11535010.449999999</v>
      </c>
      <c r="N34" s="51">
        <v>25698854.399999999</v>
      </c>
      <c r="O34" s="51">
        <v>7415892.7599999998</v>
      </c>
      <c r="P34" s="32">
        <f t="shared" si="2"/>
        <v>92.30658742</v>
      </c>
      <c r="Q34" s="32">
        <f t="shared" si="13"/>
        <v>52.040019239999999</v>
      </c>
      <c r="R34" s="32">
        <f t="shared" si="12"/>
        <v>40.26656818</v>
      </c>
      <c r="S34" s="32">
        <f t="shared" si="12"/>
        <v>11.53501045</v>
      </c>
      <c r="T34" s="32">
        <f t="shared" si="12"/>
        <v>22.247957800000002</v>
      </c>
      <c r="U34" s="32">
        <f t="shared" si="12"/>
        <v>6.4835999299999996</v>
      </c>
      <c r="V34" s="32">
        <f t="shared" si="12"/>
        <v>96.689776849999987</v>
      </c>
      <c r="W34" s="32">
        <f t="shared" si="4"/>
        <v>52.040019239999999</v>
      </c>
      <c r="X34" s="32">
        <f t="shared" si="4"/>
        <v>44.649757609999995</v>
      </c>
      <c r="Y34" s="32">
        <f t="shared" si="4"/>
        <v>11.53501045</v>
      </c>
      <c r="Z34" s="32">
        <f t="shared" si="4"/>
        <v>25.698854399999998</v>
      </c>
      <c r="AA34" s="32">
        <f t="shared" si="4"/>
        <v>7.4158927600000002</v>
      </c>
      <c r="AB34" s="32">
        <f t="shared" si="11"/>
        <v>104.74851205370234</v>
      </c>
      <c r="AC34" s="32">
        <f>W34/Q34%</f>
        <v>100</v>
      </c>
      <c r="AD34" s="32">
        <f>X34/R34%</f>
        <v>110.88543083782611</v>
      </c>
      <c r="AE34" s="32">
        <f>Y34/S34%</f>
        <v>100</v>
      </c>
      <c r="AF34" s="32">
        <f>Z34/T34%</f>
        <v>115.51107131280156</v>
      </c>
      <c r="AG34" s="34">
        <f>AA34/U34%</f>
        <v>114.3792467157979</v>
      </c>
      <c r="AH34" s="30"/>
      <c r="AI34" s="7">
        <f t="shared" si="9"/>
        <v>0</v>
      </c>
      <c r="AJ34" s="3">
        <f t="shared" si="14"/>
        <v>0</v>
      </c>
    </row>
    <row r="35" spans="1:37" ht="79.2" hidden="1" x14ac:dyDescent="0.25">
      <c r="A35" s="43" t="s">
        <v>53</v>
      </c>
      <c r="B35" s="31"/>
      <c r="C35" s="31"/>
      <c r="D35" s="31"/>
      <c r="E35" s="78"/>
      <c r="F35" s="31"/>
      <c r="G35" s="31"/>
      <c r="H35" s="31"/>
      <c r="I35" s="51"/>
      <c r="J35" s="51"/>
      <c r="K35" s="51"/>
      <c r="L35" s="78"/>
      <c r="M35" s="51"/>
      <c r="N35" s="51"/>
      <c r="O35" s="51"/>
      <c r="P35" s="32">
        <f t="shared" si="2"/>
        <v>0</v>
      </c>
      <c r="Q35" s="32">
        <f t="shared" si="13"/>
        <v>0</v>
      </c>
      <c r="R35" s="32">
        <f t="shared" si="12"/>
        <v>0</v>
      </c>
      <c r="S35" s="32">
        <f t="shared" si="12"/>
        <v>0</v>
      </c>
      <c r="T35" s="32">
        <f t="shared" si="12"/>
        <v>0</v>
      </c>
      <c r="U35" s="32">
        <f t="shared" si="12"/>
        <v>0</v>
      </c>
      <c r="V35" s="32">
        <f t="shared" si="12"/>
        <v>0</v>
      </c>
      <c r="W35" s="32">
        <f t="shared" si="4"/>
        <v>0</v>
      </c>
      <c r="X35" s="32">
        <f t="shared" si="4"/>
        <v>0</v>
      </c>
      <c r="Y35" s="32">
        <f t="shared" si="4"/>
        <v>0</v>
      </c>
      <c r="Z35" s="32">
        <f t="shared" si="4"/>
        <v>0</v>
      </c>
      <c r="AA35" s="32">
        <f t="shared" si="4"/>
        <v>0</v>
      </c>
      <c r="AB35" s="54" t="s">
        <v>30</v>
      </c>
      <c r="AC35" s="54" t="s">
        <v>30</v>
      </c>
      <c r="AD35" s="54" t="s">
        <v>30</v>
      </c>
      <c r="AE35" s="54" t="s">
        <v>30</v>
      </c>
      <c r="AF35" s="54" t="s">
        <v>30</v>
      </c>
      <c r="AG35" s="50" t="s">
        <v>30</v>
      </c>
      <c r="AH35" s="80"/>
      <c r="AI35" s="7"/>
      <c r="AK35" s="3">
        <f>(Q29-Q36-Q37)*1000</f>
        <v>17037246.78489</v>
      </c>
    </row>
    <row r="36" spans="1:37" ht="26.4" x14ac:dyDescent="0.25">
      <c r="A36" s="43" t="s">
        <v>54</v>
      </c>
      <c r="B36" s="31">
        <v>24080819.41</v>
      </c>
      <c r="C36" s="31">
        <v>125156655.76000001</v>
      </c>
      <c r="D36" s="31">
        <v>116123991.7</v>
      </c>
      <c r="E36" s="78">
        <f>F36+G36+H36+H37</f>
        <v>6365880.1699999981</v>
      </c>
      <c r="F36" s="31">
        <v>5841269.1500000004</v>
      </c>
      <c r="G36" s="31">
        <v>26789035.780000001</v>
      </c>
      <c r="H36" s="31">
        <v>483178.54</v>
      </c>
      <c r="I36" s="31">
        <v>25402664.079999998</v>
      </c>
      <c r="J36" s="31">
        <v>162452155.05000001</v>
      </c>
      <c r="K36" s="31">
        <v>154716878.00999999</v>
      </c>
      <c r="L36" s="78">
        <f>M36+N36+O36+O37</f>
        <v>6410337.8200000003</v>
      </c>
      <c r="M36" s="31">
        <v>5885456.7999999998</v>
      </c>
      <c r="N36" s="31">
        <v>26769305.780000001</v>
      </c>
      <c r="O36" s="31">
        <v>483178.54</v>
      </c>
      <c r="P36" s="32">
        <f t="shared" si="2"/>
        <v>24.08081941</v>
      </c>
      <c r="Q36" s="32">
        <f t="shared" si="13"/>
        <v>116.1239917</v>
      </c>
      <c r="R36" s="32">
        <f t="shared" si="12"/>
        <v>6.3658801699999978</v>
      </c>
      <c r="S36" s="32">
        <f t="shared" si="12"/>
        <v>5.8412691500000005</v>
      </c>
      <c r="T36" s="32">
        <f t="shared" si="12"/>
        <v>26.789035780000003</v>
      </c>
      <c r="U36" s="32">
        <f t="shared" si="12"/>
        <v>0.48317853999999999</v>
      </c>
      <c r="V36" s="32">
        <f t="shared" si="12"/>
        <v>25.402664079999997</v>
      </c>
      <c r="W36" s="32">
        <f t="shared" si="4"/>
        <v>154.71687800999999</v>
      </c>
      <c r="X36" s="32">
        <f t="shared" si="4"/>
        <v>6.4103378200000005</v>
      </c>
      <c r="Y36" s="32">
        <f t="shared" si="4"/>
        <v>5.8854568</v>
      </c>
      <c r="Z36" s="32">
        <f t="shared" si="4"/>
        <v>26.76930578</v>
      </c>
      <c r="AA36" s="32">
        <f t="shared" si="4"/>
        <v>0.48317853999999999</v>
      </c>
      <c r="AB36" s="32">
        <f t="shared" si="11"/>
        <v>105.48920137431485</v>
      </c>
      <c r="AC36" s="32">
        <f t="shared" si="11"/>
        <v>133.23420573562663</v>
      </c>
      <c r="AD36" s="32">
        <f>X36/R36%</f>
        <v>100.6983739689213</v>
      </c>
      <c r="AE36" s="32">
        <f>Y36/S36%</f>
        <v>100.75647344550113</v>
      </c>
      <c r="AF36" s="32">
        <f>Z36/T36%</f>
        <v>99.926350466056221</v>
      </c>
      <c r="AG36" s="34">
        <f>AA36/U36%</f>
        <v>100</v>
      </c>
      <c r="AH36" s="30"/>
      <c r="AI36" s="7">
        <f t="shared" si="9"/>
        <v>-135.72455174999999</v>
      </c>
      <c r="AJ36" s="3">
        <f t="shared" si="14"/>
        <v>-135724.55174999998</v>
      </c>
    </row>
    <row r="37" spans="1:37" x14ac:dyDescent="0.25">
      <c r="A37" s="43" t="s">
        <v>55</v>
      </c>
      <c r="B37" s="31">
        <v>-128856210.73</v>
      </c>
      <c r="C37" s="31">
        <v>-125156655.76000001</v>
      </c>
      <c r="D37" s="31">
        <v>-90877715.120000005</v>
      </c>
      <c r="E37" s="78">
        <f>F37+G37</f>
        <v>-136387548.06999999</v>
      </c>
      <c r="F37" s="31">
        <v>-73826891.920000002</v>
      </c>
      <c r="G37" s="31">
        <v>-62560656.149999999</v>
      </c>
      <c r="H37" s="31">
        <v>-26747603.300000001</v>
      </c>
      <c r="I37" s="31">
        <v>-56519245.119999997</v>
      </c>
      <c r="J37" s="31">
        <v>-162452155.05000001</v>
      </c>
      <c r="K37" s="31">
        <v>-56519245.119999997</v>
      </c>
      <c r="L37" s="78">
        <f>M37+N37</f>
        <v>-135724551.75</v>
      </c>
      <c r="M37" s="31">
        <v>-73848395.599999994</v>
      </c>
      <c r="N37" s="31">
        <v>-61876156.149999999</v>
      </c>
      <c r="O37" s="31">
        <v>-26727603.300000001</v>
      </c>
      <c r="P37" s="32">
        <f t="shared" si="2"/>
        <v>-128.85621073000002</v>
      </c>
      <c r="Q37" s="32">
        <f t="shared" si="13"/>
        <v>-90.877715120000005</v>
      </c>
      <c r="R37" s="32">
        <f t="shared" si="12"/>
        <v>-136.38754806999998</v>
      </c>
      <c r="S37" s="32">
        <f t="shared" si="12"/>
        <v>-73.826891920000008</v>
      </c>
      <c r="T37" s="32">
        <f t="shared" si="12"/>
        <v>-62.56065615</v>
      </c>
      <c r="U37" s="32">
        <f t="shared" si="12"/>
        <v>-26.747603300000002</v>
      </c>
      <c r="V37" s="32">
        <f t="shared" si="12"/>
        <v>-56.519245120000001</v>
      </c>
      <c r="W37" s="32">
        <f t="shared" si="4"/>
        <v>-56.519245120000001</v>
      </c>
      <c r="X37" s="32">
        <f t="shared" si="4"/>
        <v>-135.72455174999999</v>
      </c>
      <c r="Y37" s="32">
        <f t="shared" si="4"/>
        <v>-73.848395599999989</v>
      </c>
      <c r="Z37" s="32">
        <f t="shared" si="4"/>
        <v>-61.87615615</v>
      </c>
      <c r="AA37" s="32">
        <f t="shared" si="4"/>
        <v>-26.727603300000002</v>
      </c>
      <c r="AB37" s="32">
        <f t="shared" si="11"/>
        <v>43.862259180062409</v>
      </c>
      <c r="AC37" s="32">
        <f t="shared" si="11"/>
        <v>62.192634404781018</v>
      </c>
      <c r="AD37" s="32">
        <f t="shared" si="11"/>
        <v>99.513887939638224</v>
      </c>
      <c r="AE37" s="32">
        <f t="shared" si="11"/>
        <v>100.02912716415489</v>
      </c>
      <c r="AF37" s="32">
        <f t="shared" si="11"/>
        <v>98.905861859314911</v>
      </c>
      <c r="AG37" s="34">
        <f t="shared" si="11"/>
        <v>99.925226945473653</v>
      </c>
      <c r="AH37" s="30"/>
      <c r="AI37" s="7">
        <f t="shared" si="9"/>
        <v>135.72455174999999</v>
      </c>
      <c r="AJ37" s="3">
        <f t="shared" si="14"/>
        <v>135724.55174999998</v>
      </c>
    </row>
    <row r="38" spans="1:37" s="42" customFormat="1" x14ac:dyDescent="0.25">
      <c r="A38" s="121" t="s">
        <v>56</v>
      </c>
      <c r="B38" s="81">
        <f>B12+B13+B14+B15+B16+B17+B18+B19+B20+B21+B22+B23+B24+B25+B26+B28+B29</f>
        <v>76611416412.369995</v>
      </c>
      <c r="C38" s="81">
        <f t="shared" ref="C38:D38" si="15">C12+C13+C14+C15+C16+C17+C18+C19+C20+C21+C22+C23+C24+C25+C26+C29</f>
        <v>21094409652.179996</v>
      </c>
      <c r="D38" s="81">
        <f t="shared" si="15"/>
        <v>63464229613.360001</v>
      </c>
      <c r="E38" s="81">
        <f>E12+E13+E14+E15+E16+E17+E18+E19+E20+E21+E22+E23+E24+E25+E26+E28+E29</f>
        <v>32957553097.989998</v>
      </c>
      <c r="F38" s="81">
        <f t="shared" ref="F38:O38" si="16">F12+F13+F14+F15+F16+F17+F18+F19+F20+F21+F22+F23+F24+F25+F26+F28+F29</f>
        <v>19166067126.359997</v>
      </c>
      <c r="G38" s="81">
        <f t="shared" si="16"/>
        <v>12969842599.799999</v>
      </c>
      <c r="H38" s="81">
        <f t="shared" si="16"/>
        <v>2105686725.03</v>
      </c>
      <c r="I38" s="81">
        <f t="shared" si="16"/>
        <v>58342073950.679993</v>
      </c>
      <c r="J38" s="81">
        <f t="shared" si="16"/>
        <v>14775638550.02</v>
      </c>
      <c r="K38" s="81">
        <f t="shared" si="16"/>
        <v>49047813736.970009</v>
      </c>
      <c r="L38" s="81">
        <f t="shared" si="16"/>
        <v>23297222390.920006</v>
      </c>
      <c r="M38" s="81">
        <f t="shared" si="16"/>
        <v>13262147055.240002</v>
      </c>
      <c r="N38" s="81">
        <f t="shared" si="16"/>
        <v>9531402779.6599998</v>
      </c>
      <c r="O38" s="81">
        <f t="shared" si="16"/>
        <v>1276348928.8299999</v>
      </c>
      <c r="P38" s="82">
        <f t="shared" si="2"/>
        <v>76611.416412369988</v>
      </c>
      <c r="Q38" s="82">
        <f>D38/1000000</f>
        <v>63464.229613360003</v>
      </c>
      <c r="R38" s="82">
        <f t="shared" si="12"/>
        <v>32957.55309799</v>
      </c>
      <c r="S38" s="82">
        <f t="shared" si="12"/>
        <v>19166.067126359998</v>
      </c>
      <c r="T38" s="82">
        <f t="shared" si="12"/>
        <v>12969.842599799998</v>
      </c>
      <c r="U38" s="82">
        <f t="shared" si="12"/>
        <v>2105.6867250300002</v>
      </c>
      <c r="V38" s="82">
        <f t="shared" si="12"/>
        <v>58342.073950679995</v>
      </c>
      <c r="W38" s="82">
        <f>K38/1000000</f>
        <v>49047.813736970005</v>
      </c>
      <c r="X38" s="82">
        <f t="shared" si="4"/>
        <v>23297.222390920007</v>
      </c>
      <c r="Y38" s="82">
        <f t="shared" si="4"/>
        <v>13262.147055240002</v>
      </c>
      <c r="Z38" s="82">
        <f t="shared" si="4"/>
        <v>9531.4027796600003</v>
      </c>
      <c r="AA38" s="82">
        <f t="shared" si="4"/>
        <v>1276.34892883</v>
      </c>
      <c r="AB38" s="82">
        <f t="shared" si="11"/>
        <v>76.153237575777084</v>
      </c>
      <c r="AC38" s="82">
        <f>W38/Q38%</f>
        <v>77.284186754935163</v>
      </c>
      <c r="AD38" s="82">
        <f t="shared" si="11"/>
        <v>70.688568176321468</v>
      </c>
      <c r="AE38" s="82">
        <f t="shared" si="11"/>
        <v>69.19597519827083</v>
      </c>
      <c r="AF38" s="82">
        <f t="shared" si="11"/>
        <v>73.488962617071238</v>
      </c>
      <c r="AG38" s="83">
        <f t="shared" si="11"/>
        <v>60.614378846493203</v>
      </c>
      <c r="AH38" s="84"/>
      <c r="AI38" s="7">
        <f>V38-W38-X38</f>
        <v>-14002.962177210018</v>
      </c>
      <c r="AJ38" s="3">
        <f t="shared" si="14"/>
        <v>-14002962.177210018</v>
      </c>
      <c r="AK38" s="42">
        <f>V38-P38</f>
        <v>-18269.342461689994</v>
      </c>
    </row>
    <row r="39" spans="1:37" s="42" customFormat="1" x14ac:dyDescent="0.25">
      <c r="A39" s="121" t="s">
        <v>57</v>
      </c>
      <c r="B39" s="85">
        <f>+B12+B13+B14+B15+B16+B17+B18+B19</f>
        <v>56317162060.480003</v>
      </c>
      <c r="C39" s="85">
        <f t="shared" ref="C39:AA39" si="17">+C12+C13+C14+C15+C16+C17+C18+C19</f>
        <v>0</v>
      </c>
      <c r="D39" s="85">
        <f t="shared" si="17"/>
        <v>45219420100</v>
      </c>
      <c r="E39" s="85">
        <f t="shared" si="17"/>
        <v>11097741960.48</v>
      </c>
      <c r="F39" s="85">
        <f t="shared" si="17"/>
        <v>8246730353</v>
      </c>
      <c r="G39" s="85">
        <f t="shared" si="17"/>
        <v>2166772210.5500002</v>
      </c>
      <c r="H39" s="85">
        <f t="shared" si="17"/>
        <v>684239396.92999995</v>
      </c>
      <c r="I39" s="85">
        <f t="shared" si="17"/>
        <v>43176835385.539993</v>
      </c>
      <c r="J39" s="85">
        <f t="shared" si="17"/>
        <v>0</v>
      </c>
      <c r="K39" s="85">
        <f t="shared" si="17"/>
        <v>35452524933.650002</v>
      </c>
      <c r="L39" s="85">
        <f t="shared" si="17"/>
        <v>7724310451.8900013</v>
      </c>
      <c r="M39" s="85">
        <f t="shared" si="17"/>
        <v>5705051666.2300005</v>
      </c>
      <c r="N39" s="85">
        <f t="shared" si="17"/>
        <v>1605237007.5900002</v>
      </c>
      <c r="O39" s="85">
        <f t="shared" si="17"/>
        <v>414021778.06999987</v>
      </c>
      <c r="P39" s="312">
        <f t="shared" si="17"/>
        <v>56317.162060480005</v>
      </c>
      <c r="Q39" s="312">
        <f t="shared" si="17"/>
        <v>45219.420099999988</v>
      </c>
      <c r="R39" s="312">
        <f t="shared" si="17"/>
        <v>11097.74196048</v>
      </c>
      <c r="S39" s="312">
        <f t="shared" si="17"/>
        <v>8246.730352999999</v>
      </c>
      <c r="T39" s="312">
        <f t="shared" si="17"/>
        <v>2166.7722105500002</v>
      </c>
      <c r="U39" s="312">
        <f t="shared" si="17"/>
        <v>684.23939693000011</v>
      </c>
      <c r="V39" s="312">
        <f t="shared" si="17"/>
        <v>43176.835385539998</v>
      </c>
      <c r="W39" s="312">
        <f t="shared" si="17"/>
        <v>35452.524933649991</v>
      </c>
      <c r="X39" s="312">
        <f t="shared" si="17"/>
        <v>7724.3104518900018</v>
      </c>
      <c r="Y39" s="312">
        <f t="shared" si="17"/>
        <v>5705.0516662300006</v>
      </c>
      <c r="Z39" s="312">
        <f t="shared" si="17"/>
        <v>1605.2370075900001</v>
      </c>
      <c r="AA39" s="312">
        <f t="shared" si="17"/>
        <v>414.02177806999998</v>
      </c>
      <c r="AB39" s="82">
        <f t="shared" ref="AB39:AG40" si="18">V39/P39%</f>
        <v>76.667278331908179</v>
      </c>
      <c r="AC39" s="82">
        <f t="shared" si="18"/>
        <v>78.401104780310973</v>
      </c>
      <c r="AD39" s="82">
        <f t="shared" si="18"/>
        <v>69.602541484537369</v>
      </c>
      <c r="AE39" s="82">
        <f t="shared" si="18"/>
        <v>69.179558710254355</v>
      </c>
      <c r="AF39" s="82">
        <f t="shared" si="18"/>
        <v>74.084253055033258</v>
      </c>
      <c r="AG39" s="83">
        <f t="shared" si="18"/>
        <v>60.508322076689147</v>
      </c>
      <c r="AH39" s="84"/>
      <c r="AI39" s="7"/>
      <c r="AJ39" s="3"/>
    </row>
    <row r="40" spans="1:37" s="42" customFormat="1" ht="13.8" thickBot="1" x14ac:dyDescent="0.3">
      <c r="A40" s="137" t="s">
        <v>58</v>
      </c>
      <c r="B40" s="233">
        <f>+B20+B21+B22+B23+B24+B25+B26+B28</f>
        <v>3319678411.6900005</v>
      </c>
      <c r="C40" s="233">
        <f t="shared" ref="C40:AA40" si="19">+C20+C21+C22+C23+C24+C25+C26+C28</f>
        <v>711466.67</v>
      </c>
      <c r="D40" s="233">
        <f t="shared" si="19"/>
        <v>1182316451.8899999</v>
      </c>
      <c r="E40" s="233">
        <f t="shared" si="19"/>
        <v>2138073426.47</v>
      </c>
      <c r="F40" s="233">
        <f t="shared" si="19"/>
        <v>1422510574.73</v>
      </c>
      <c r="G40" s="233">
        <f t="shared" si="19"/>
        <v>464433700.17000002</v>
      </c>
      <c r="H40" s="233">
        <f t="shared" si="19"/>
        <v>251129151.56999999</v>
      </c>
      <c r="I40" s="233">
        <f t="shared" si="19"/>
        <v>2525885007.9699998</v>
      </c>
      <c r="J40" s="233">
        <f t="shared" si="19"/>
        <v>0</v>
      </c>
      <c r="K40" s="233">
        <f t="shared" si="19"/>
        <v>873008768.27999997</v>
      </c>
      <c r="L40" s="233">
        <f t="shared" si="19"/>
        <v>1652876239.6900001</v>
      </c>
      <c r="M40" s="233">
        <f t="shared" si="19"/>
        <v>1140951220.45</v>
      </c>
      <c r="N40" s="233">
        <f t="shared" si="19"/>
        <v>338963844.32999992</v>
      </c>
      <c r="O40" s="233">
        <f t="shared" si="19"/>
        <v>172961174.91000003</v>
      </c>
      <c r="P40" s="313">
        <f t="shared" si="19"/>
        <v>3319.6784116899998</v>
      </c>
      <c r="Q40" s="313">
        <f t="shared" si="19"/>
        <v>1182.3164518900001</v>
      </c>
      <c r="R40" s="313">
        <f t="shared" si="19"/>
        <v>2138.07342647</v>
      </c>
      <c r="S40" s="313">
        <f t="shared" si="19"/>
        <v>1422.5105747299999</v>
      </c>
      <c r="T40" s="313">
        <f t="shared" si="19"/>
        <v>464.43370017000007</v>
      </c>
      <c r="U40" s="313">
        <f t="shared" si="19"/>
        <v>251.12915157</v>
      </c>
      <c r="V40" s="313">
        <f t="shared" si="19"/>
        <v>2525.8850079700001</v>
      </c>
      <c r="W40" s="313">
        <f t="shared" si="19"/>
        <v>873.00876828000003</v>
      </c>
      <c r="X40" s="313">
        <f t="shared" si="19"/>
        <v>1652.8762396900001</v>
      </c>
      <c r="Y40" s="313">
        <f t="shared" si="19"/>
        <v>1140.9512204499999</v>
      </c>
      <c r="Z40" s="313">
        <f t="shared" si="19"/>
        <v>338.96384432999997</v>
      </c>
      <c r="AA40" s="313">
        <f t="shared" si="19"/>
        <v>172.96117491000001</v>
      </c>
      <c r="AB40" s="139">
        <f t="shared" si="18"/>
        <v>76.088243941801238</v>
      </c>
      <c r="AC40" s="139">
        <f>W40/Q40%</f>
        <v>73.838841275061839</v>
      </c>
      <c r="AD40" s="139">
        <f t="shared" si="18"/>
        <v>77.306804304608491</v>
      </c>
      <c r="AE40" s="139">
        <f t="shared" si="18"/>
        <v>80.206870916693092</v>
      </c>
      <c r="AF40" s="139">
        <f t="shared" si="18"/>
        <v>72.984334299153261</v>
      </c>
      <c r="AG40" s="234">
        <f t="shared" si="18"/>
        <v>68.873395951321342</v>
      </c>
      <c r="AH40" s="84"/>
      <c r="AI40" s="7"/>
      <c r="AJ40" s="3"/>
    </row>
    <row r="41" spans="1:37" s="76" customFormat="1" ht="13.8" hidden="1" thickTop="1" x14ac:dyDescent="0.25">
      <c r="A41" s="87" t="s">
        <v>59</v>
      </c>
      <c r="B41" s="88">
        <f>B38-B10</f>
        <v>0</v>
      </c>
      <c r="C41" s="88">
        <f t="shared" ref="C41:O41" si="20">C38-C10</f>
        <v>0</v>
      </c>
      <c r="D41" s="88">
        <f t="shared" si="20"/>
        <v>0</v>
      </c>
      <c r="E41" s="88">
        <f>E38-E10</f>
        <v>0</v>
      </c>
      <c r="F41" s="88">
        <f t="shared" si="20"/>
        <v>0</v>
      </c>
      <c r="G41" s="88">
        <f t="shared" si="20"/>
        <v>0</v>
      </c>
      <c r="H41" s="88">
        <f t="shared" si="20"/>
        <v>0</v>
      </c>
      <c r="I41" s="88">
        <f t="shared" si="20"/>
        <v>0</v>
      </c>
      <c r="J41" s="88">
        <f t="shared" si="20"/>
        <v>0</v>
      </c>
      <c r="K41" s="88">
        <f t="shared" si="20"/>
        <v>0</v>
      </c>
      <c r="L41" s="88">
        <f>L38-L10</f>
        <v>0</v>
      </c>
      <c r="M41" s="88">
        <f t="shared" si="20"/>
        <v>0</v>
      </c>
      <c r="N41" s="88">
        <f t="shared" si="20"/>
        <v>0</v>
      </c>
      <c r="O41" s="88">
        <f t="shared" si="20"/>
        <v>0</v>
      </c>
      <c r="P41" s="232">
        <f t="shared" si="2"/>
        <v>0</v>
      </c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90"/>
      <c r="AH41" s="91"/>
    </row>
    <row r="42" spans="1:37" s="76" customFormat="1" hidden="1" x14ac:dyDescent="0.25">
      <c r="A42" s="92" t="s">
        <v>60</v>
      </c>
      <c r="B42" s="93">
        <f>B31+B32+B33+B34+B35+B36+B37</f>
        <v>16974575940.200003</v>
      </c>
      <c r="C42" s="93">
        <f t="shared" ref="C42:AA42" si="21">C31+C32+C33+C34+C35+C36+C37</f>
        <v>21093698185.509998</v>
      </c>
      <c r="D42" s="93">
        <f t="shared" si="21"/>
        <v>17062493061.470001</v>
      </c>
      <c r="E42" s="93">
        <f>E31+E32+E33+E34+E35+E36+E37</f>
        <v>19721737711.039997</v>
      </c>
      <c r="F42" s="93">
        <f t="shared" si="21"/>
        <v>9496826198.6300011</v>
      </c>
      <c r="G42" s="93">
        <f t="shared" si="21"/>
        <v>10338636689.08</v>
      </c>
      <c r="H42" s="93">
        <f t="shared" si="21"/>
        <v>1170318176.5300002</v>
      </c>
      <c r="I42" s="93">
        <f t="shared" si="21"/>
        <v>12639353557.17</v>
      </c>
      <c r="J42" s="93">
        <f t="shared" si="21"/>
        <v>14775638550.02</v>
      </c>
      <c r="K42" s="93">
        <f t="shared" si="21"/>
        <v>12722280035.039999</v>
      </c>
      <c r="L42" s="93">
        <f t="shared" si="21"/>
        <v>13920035699.339998</v>
      </c>
      <c r="M42" s="93">
        <f t="shared" si="21"/>
        <v>6416144168.5599995</v>
      </c>
      <c r="N42" s="93">
        <f t="shared" si="21"/>
        <v>7587201927.7399998</v>
      </c>
      <c r="O42" s="93">
        <f t="shared" si="21"/>
        <v>689365975.85000002</v>
      </c>
      <c r="P42" s="189">
        <f t="shared" si="2"/>
        <v>16974.575940200004</v>
      </c>
      <c r="Q42" s="93">
        <f t="shared" si="21"/>
        <v>17062.493061469999</v>
      </c>
      <c r="R42" s="93">
        <f t="shared" si="21"/>
        <v>19721.737711039994</v>
      </c>
      <c r="S42" s="93">
        <f t="shared" si="21"/>
        <v>9496.8261986300004</v>
      </c>
      <c r="T42" s="93">
        <f t="shared" si="21"/>
        <v>10338.63668908</v>
      </c>
      <c r="U42" s="93">
        <f t="shared" si="21"/>
        <v>1170.3181765299998</v>
      </c>
      <c r="V42" s="93">
        <f t="shared" si="21"/>
        <v>12639.353557169999</v>
      </c>
      <c r="W42" s="93">
        <f t="shared" si="21"/>
        <v>12722.280035039999</v>
      </c>
      <c r="X42" s="93">
        <f t="shared" si="21"/>
        <v>13920.035699339996</v>
      </c>
      <c r="Y42" s="93">
        <f t="shared" si="21"/>
        <v>6416.1441685600003</v>
      </c>
      <c r="Z42" s="93">
        <f t="shared" si="21"/>
        <v>7587.2019277399995</v>
      </c>
      <c r="AA42" s="93">
        <f t="shared" si="21"/>
        <v>689.36597584999993</v>
      </c>
      <c r="AB42" s="94"/>
      <c r="AC42" s="94"/>
      <c r="AD42" s="94"/>
      <c r="AE42" s="94"/>
      <c r="AF42" s="94"/>
      <c r="AG42" s="94"/>
      <c r="AH42" s="91"/>
    </row>
    <row r="43" spans="1:37" s="76" customFormat="1" hidden="1" x14ac:dyDescent="0.25">
      <c r="A43" s="95" t="s">
        <v>61</v>
      </c>
      <c r="B43" s="96">
        <f>B42-B29</f>
        <v>0</v>
      </c>
      <c r="C43" s="96">
        <f t="shared" ref="C43:AA43" si="22">C42-C29</f>
        <v>0</v>
      </c>
      <c r="D43" s="96">
        <f t="shared" si="22"/>
        <v>0</v>
      </c>
      <c r="E43" s="96">
        <f>E42-E29</f>
        <v>0</v>
      </c>
      <c r="F43" s="96">
        <f t="shared" si="22"/>
        <v>0</v>
      </c>
      <c r="G43" s="96">
        <f t="shared" si="22"/>
        <v>0</v>
      </c>
      <c r="H43" s="96">
        <f t="shared" si="22"/>
        <v>0</v>
      </c>
      <c r="I43" s="96">
        <f t="shared" si="22"/>
        <v>0</v>
      </c>
      <c r="J43" s="96">
        <f t="shared" si="22"/>
        <v>0</v>
      </c>
      <c r="K43" s="96">
        <f t="shared" si="22"/>
        <v>0</v>
      </c>
      <c r="L43" s="96">
        <f t="shared" si="22"/>
        <v>0</v>
      </c>
      <c r="M43" s="96">
        <f t="shared" si="22"/>
        <v>0</v>
      </c>
      <c r="N43" s="96">
        <f t="shared" si="22"/>
        <v>0</v>
      </c>
      <c r="O43" s="96">
        <f t="shared" si="22"/>
        <v>0</v>
      </c>
      <c r="P43" s="129">
        <f t="shared" si="2"/>
        <v>0</v>
      </c>
      <c r="Q43" s="97">
        <f t="shared" si="22"/>
        <v>0</v>
      </c>
      <c r="R43" s="97">
        <f t="shared" si="22"/>
        <v>0</v>
      </c>
      <c r="S43" s="97">
        <f t="shared" si="22"/>
        <v>0</v>
      </c>
      <c r="T43" s="97">
        <f t="shared" si="22"/>
        <v>0</v>
      </c>
      <c r="U43" s="97">
        <f t="shared" si="22"/>
        <v>0</v>
      </c>
      <c r="V43" s="97">
        <f t="shared" si="22"/>
        <v>0</v>
      </c>
      <c r="W43" s="97">
        <f t="shared" si="22"/>
        <v>0</v>
      </c>
      <c r="X43" s="97">
        <f t="shared" si="22"/>
        <v>0</v>
      </c>
      <c r="Y43" s="97">
        <f t="shared" si="22"/>
        <v>0</v>
      </c>
      <c r="Z43" s="97">
        <f t="shared" si="22"/>
        <v>0</v>
      </c>
      <c r="AA43" s="97">
        <f t="shared" si="22"/>
        <v>0</v>
      </c>
      <c r="AB43" s="91"/>
      <c r="AC43" s="91"/>
      <c r="AD43" s="91"/>
      <c r="AE43" s="91"/>
      <c r="AF43" s="91"/>
      <c r="AG43" s="91"/>
      <c r="AH43" s="91"/>
    </row>
    <row r="44" spans="1:37" s="76" customFormat="1" hidden="1" x14ac:dyDescent="0.25">
      <c r="A44" s="95"/>
      <c r="B44" s="91"/>
      <c r="C44" s="91"/>
      <c r="D44" s="96"/>
      <c r="E44" s="96"/>
      <c r="F44" s="91"/>
      <c r="G44" s="91"/>
      <c r="H44" s="91"/>
      <c r="I44" s="91"/>
      <c r="J44" s="91"/>
      <c r="K44" s="91"/>
      <c r="L44" s="96"/>
      <c r="M44" s="96"/>
      <c r="N44" s="96"/>
      <c r="O44" s="96"/>
      <c r="P44" s="129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</row>
    <row r="45" spans="1:37" s="76" customFormat="1" ht="40.200000000000003" hidden="1" thickBot="1" x14ac:dyDescent="0.3">
      <c r="A45" s="95" t="s">
        <v>62</v>
      </c>
      <c r="B45" s="91"/>
      <c r="C45" s="91"/>
      <c r="D45" s="91"/>
      <c r="E45" s="98">
        <f>G131-H31</f>
        <v>804000</v>
      </c>
      <c r="F45" s="91"/>
      <c r="G45" s="91"/>
      <c r="H45" s="91"/>
      <c r="I45" s="91"/>
      <c r="J45" s="91"/>
      <c r="K45" s="91"/>
      <c r="L45" s="98">
        <f>N131-O31</f>
        <v>1597521.8000000715</v>
      </c>
      <c r="M45" s="91"/>
      <c r="N45" s="91"/>
      <c r="O45" s="91"/>
      <c r="P45" s="190"/>
      <c r="Q45" s="91"/>
      <c r="R45" s="99">
        <f>T131-U31</f>
        <v>0.80400000000008731</v>
      </c>
      <c r="S45" s="100"/>
      <c r="T45" s="100"/>
      <c r="U45" s="100"/>
      <c r="V45" s="100"/>
      <c r="W45" s="100"/>
      <c r="X45" s="99">
        <f>Z131-AA31</f>
        <v>1.597521800000095</v>
      </c>
      <c r="Y45" s="91"/>
      <c r="Z45" s="91"/>
      <c r="AA45" s="91"/>
      <c r="AB45" s="91"/>
      <c r="AC45" s="91"/>
      <c r="AD45" s="91"/>
      <c r="AE45" s="91"/>
      <c r="AF45" s="91"/>
      <c r="AG45" s="91"/>
      <c r="AH45" s="91"/>
    </row>
    <row r="46" spans="1:37" ht="13.5" customHeight="1" thickTop="1" x14ac:dyDescent="0.25">
      <c r="A46" s="450" t="s">
        <v>0</v>
      </c>
      <c r="B46" s="452" t="s">
        <v>129</v>
      </c>
      <c r="C46" s="452"/>
      <c r="D46" s="452"/>
      <c r="E46" s="452"/>
      <c r="F46" s="452"/>
      <c r="G46" s="452"/>
      <c r="H46" s="452"/>
      <c r="I46" s="452" t="s">
        <v>374</v>
      </c>
      <c r="J46" s="452"/>
      <c r="K46" s="452"/>
      <c r="L46" s="452"/>
      <c r="M46" s="452"/>
      <c r="N46" s="452"/>
      <c r="O46" s="452"/>
      <c r="P46" s="452" t="s">
        <v>130</v>
      </c>
      <c r="Q46" s="452"/>
      <c r="R46" s="452"/>
      <c r="S46" s="452"/>
      <c r="T46" s="452"/>
      <c r="U46" s="452"/>
      <c r="V46" s="452" t="s">
        <v>375</v>
      </c>
      <c r="W46" s="452"/>
      <c r="X46" s="452"/>
      <c r="Y46" s="452"/>
      <c r="Z46" s="452"/>
      <c r="AA46" s="452"/>
      <c r="AB46" s="452" t="s">
        <v>1</v>
      </c>
      <c r="AC46" s="452"/>
      <c r="AD46" s="452"/>
      <c r="AE46" s="452"/>
      <c r="AF46" s="452"/>
      <c r="AG46" s="453"/>
      <c r="AH46" s="10"/>
    </row>
    <row r="47" spans="1:37" x14ac:dyDescent="0.25">
      <c r="A47" s="451"/>
      <c r="B47" s="444" t="s">
        <v>2</v>
      </c>
      <c r="C47" s="445" t="s">
        <v>3</v>
      </c>
      <c r="D47" s="445"/>
      <c r="E47" s="445"/>
      <c r="F47" s="445"/>
      <c r="G47" s="445"/>
      <c r="H47" s="445"/>
      <c r="I47" s="444" t="s">
        <v>2</v>
      </c>
      <c r="J47" s="322"/>
      <c r="K47" s="445" t="s">
        <v>3</v>
      </c>
      <c r="L47" s="445"/>
      <c r="M47" s="445"/>
      <c r="N47" s="445"/>
      <c r="O47" s="445"/>
      <c r="P47" s="444" t="s">
        <v>2</v>
      </c>
      <c r="Q47" s="445" t="s">
        <v>4</v>
      </c>
      <c r="R47" s="445"/>
      <c r="S47" s="445"/>
      <c r="T47" s="445"/>
      <c r="U47" s="445"/>
      <c r="V47" s="444" t="s">
        <v>2</v>
      </c>
      <c r="W47" s="445" t="s">
        <v>4</v>
      </c>
      <c r="X47" s="445"/>
      <c r="Y47" s="445"/>
      <c r="Z47" s="445"/>
      <c r="AA47" s="445"/>
      <c r="AB47" s="444" t="s">
        <v>2</v>
      </c>
      <c r="AC47" s="445" t="s">
        <v>4</v>
      </c>
      <c r="AD47" s="445"/>
      <c r="AE47" s="445"/>
      <c r="AF47" s="445"/>
      <c r="AG47" s="459"/>
      <c r="AH47" s="10"/>
    </row>
    <row r="48" spans="1:37" x14ac:dyDescent="0.25">
      <c r="A48" s="451"/>
      <c r="B48" s="444"/>
      <c r="C48" s="462" t="s">
        <v>5</v>
      </c>
      <c r="D48" s="444" t="s">
        <v>6</v>
      </c>
      <c r="E48" s="444" t="s">
        <v>7</v>
      </c>
      <c r="F48" s="447" t="s">
        <v>8</v>
      </c>
      <c r="G48" s="447"/>
      <c r="H48" s="447"/>
      <c r="I48" s="444"/>
      <c r="J48" s="462" t="s">
        <v>5</v>
      </c>
      <c r="K48" s="444" t="s">
        <v>6</v>
      </c>
      <c r="L48" s="444" t="s">
        <v>7</v>
      </c>
      <c r="M48" s="447" t="s">
        <v>8</v>
      </c>
      <c r="N48" s="447"/>
      <c r="O48" s="447"/>
      <c r="P48" s="444"/>
      <c r="Q48" s="444" t="s">
        <v>6</v>
      </c>
      <c r="R48" s="444" t="s">
        <v>7</v>
      </c>
      <c r="S48" s="447" t="s">
        <v>8</v>
      </c>
      <c r="T48" s="447"/>
      <c r="U48" s="447"/>
      <c r="V48" s="444"/>
      <c r="W48" s="444" t="s">
        <v>6</v>
      </c>
      <c r="X48" s="444" t="s">
        <v>7</v>
      </c>
      <c r="Y48" s="447" t="s">
        <v>8</v>
      </c>
      <c r="Z48" s="447"/>
      <c r="AA48" s="447"/>
      <c r="AB48" s="444"/>
      <c r="AC48" s="446" t="s">
        <v>6</v>
      </c>
      <c r="AD48" s="446" t="s">
        <v>7</v>
      </c>
      <c r="AE48" s="457" t="s">
        <v>8</v>
      </c>
      <c r="AF48" s="457"/>
      <c r="AG48" s="458"/>
      <c r="AH48" s="12"/>
    </row>
    <row r="49" spans="1:34" ht="57.75" customHeight="1" x14ac:dyDescent="0.25">
      <c r="A49" s="451"/>
      <c r="B49" s="444"/>
      <c r="C49" s="462"/>
      <c r="D49" s="444"/>
      <c r="E49" s="444"/>
      <c r="F49" s="321" t="s">
        <v>9</v>
      </c>
      <c r="G49" s="321" t="s">
        <v>10</v>
      </c>
      <c r="H49" s="321" t="s">
        <v>11</v>
      </c>
      <c r="I49" s="444"/>
      <c r="J49" s="462"/>
      <c r="K49" s="444"/>
      <c r="L49" s="444"/>
      <c r="M49" s="321" t="s">
        <v>9</v>
      </c>
      <c r="N49" s="321" t="s">
        <v>10</v>
      </c>
      <c r="O49" s="321" t="s">
        <v>11</v>
      </c>
      <c r="P49" s="444"/>
      <c r="Q49" s="444"/>
      <c r="R49" s="444"/>
      <c r="S49" s="321" t="s">
        <v>9</v>
      </c>
      <c r="T49" s="321" t="s">
        <v>10</v>
      </c>
      <c r="U49" s="321" t="s">
        <v>11</v>
      </c>
      <c r="V49" s="444"/>
      <c r="W49" s="444"/>
      <c r="X49" s="444"/>
      <c r="Y49" s="321" t="s">
        <v>9</v>
      </c>
      <c r="Z49" s="321" t="s">
        <v>10</v>
      </c>
      <c r="AA49" s="321" t="s">
        <v>11</v>
      </c>
      <c r="AB49" s="444"/>
      <c r="AC49" s="446"/>
      <c r="AD49" s="446"/>
      <c r="AE49" s="14" t="s">
        <v>9</v>
      </c>
      <c r="AF49" s="14" t="s">
        <v>10</v>
      </c>
      <c r="AG49" s="15" t="s">
        <v>63</v>
      </c>
      <c r="AH49" s="16"/>
    </row>
    <row r="50" spans="1:34" x14ac:dyDescent="0.25">
      <c r="A50" s="17" t="s">
        <v>13</v>
      </c>
      <c r="B50" s="18"/>
      <c r="C50" s="18"/>
      <c r="D50" s="19"/>
      <c r="E50" s="18"/>
      <c r="F50" s="20"/>
      <c r="G50" s="20"/>
      <c r="H50" s="20"/>
      <c r="I50" s="18"/>
      <c r="J50" s="18"/>
      <c r="K50" s="18"/>
      <c r="L50" s="18"/>
      <c r="M50" s="20"/>
      <c r="N50" s="20"/>
      <c r="O50" s="20"/>
      <c r="P50" s="18" t="s">
        <v>14</v>
      </c>
      <c r="Q50" s="18" t="s">
        <v>15</v>
      </c>
      <c r="R50" s="18" t="s">
        <v>16</v>
      </c>
      <c r="S50" s="20">
        <v>4</v>
      </c>
      <c r="T50" s="20">
        <v>5</v>
      </c>
      <c r="U50" s="20">
        <v>6</v>
      </c>
      <c r="V50" s="18" t="s">
        <v>17</v>
      </c>
      <c r="W50" s="18" t="s">
        <v>18</v>
      </c>
      <c r="X50" s="18" t="s">
        <v>19</v>
      </c>
      <c r="Y50" s="20">
        <v>10</v>
      </c>
      <c r="Z50" s="20">
        <v>11</v>
      </c>
      <c r="AA50" s="20">
        <v>12</v>
      </c>
      <c r="AB50" s="18" t="s">
        <v>20</v>
      </c>
      <c r="AC50" s="18" t="s">
        <v>21</v>
      </c>
      <c r="AD50" s="18" t="s">
        <v>22</v>
      </c>
      <c r="AE50" s="20" t="s">
        <v>23</v>
      </c>
      <c r="AF50" s="20" t="s">
        <v>24</v>
      </c>
      <c r="AG50" s="21" t="s">
        <v>25</v>
      </c>
      <c r="AH50" s="22"/>
    </row>
    <row r="51" spans="1:34" x14ac:dyDescent="0.25">
      <c r="A51" s="343" t="s">
        <v>64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344"/>
      <c r="M51" s="25"/>
      <c r="N51" s="25"/>
      <c r="O51" s="25"/>
      <c r="P51" s="345"/>
      <c r="Q51" s="345"/>
      <c r="R51" s="345"/>
      <c r="S51" s="345"/>
      <c r="T51" s="345"/>
      <c r="U51" s="345"/>
      <c r="V51" s="345"/>
      <c r="W51" s="345"/>
      <c r="X51" s="27">
        <f>Y52+Z52+AA52-X52</f>
        <v>772.6763728099977</v>
      </c>
      <c r="Y51" s="345"/>
      <c r="Z51" s="345"/>
      <c r="AA51" s="345"/>
      <c r="AB51" s="345"/>
      <c r="AC51" s="345"/>
      <c r="AD51" s="345"/>
      <c r="AE51" s="345"/>
      <c r="AF51" s="345"/>
      <c r="AG51" s="346"/>
      <c r="AH51" s="101"/>
    </row>
    <row r="52" spans="1:34" s="42" customFormat="1" hidden="1" x14ac:dyDescent="0.25">
      <c r="A52" s="102" t="s">
        <v>65</v>
      </c>
      <c r="B52" s="347">
        <v>82926619445.440002</v>
      </c>
      <c r="C52" s="347">
        <v>21094409652.18</v>
      </c>
      <c r="D52" s="347">
        <v>68472988543.419998</v>
      </c>
      <c r="E52" s="103">
        <f>+F52+G52+H52-E131</f>
        <v>34263997201.000004</v>
      </c>
      <c r="F52" s="347">
        <v>19899388196.950001</v>
      </c>
      <c r="G52" s="347">
        <v>13334946640.530001</v>
      </c>
      <c r="H52" s="347">
        <v>2313705716.7200003</v>
      </c>
      <c r="I52" s="347">
        <v>59227223310.889999</v>
      </c>
      <c r="J52" s="347">
        <v>14775638550.02</v>
      </c>
      <c r="K52" s="347">
        <v>49823714067.760002</v>
      </c>
      <c r="L52" s="103">
        <f>+M52+N52+O52-L131</f>
        <v>23406471420.34</v>
      </c>
      <c r="M52" s="347">
        <v>13185148029.02</v>
      </c>
      <c r="N52" s="347">
        <v>9652321332.8199997</v>
      </c>
      <c r="O52" s="347">
        <v>1341678431.3099999</v>
      </c>
      <c r="P52" s="104">
        <f>B52/1000000</f>
        <v>82926.619445439996</v>
      </c>
      <c r="Q52" s="104">
        <f t="shared" ref="Q52:V67" si="23">D52/1000000</f>
        <v>68472.988543419997</v>
      </c>
      <c r="R52" s="104">
        <f t="shared" si="23"/>
        <v>34263.997201000006</v>
      </c>
      <c r="S52" s="104">
        <f t="shared" si="23"/>
        <v>19899.38819695</v>
      </c>
      <c r="T52" s="104">
        <f t="shared" si="23"/>
        <v>13334.946640530001</v>
      </c>
      <c r="U52" s="104">
        <f t="shared" si="23"/>
        <v>2313.7057167200001</v>
      </c>
      <c r="V52" s="104">
        <f t="shared" si="23"/>
        <v>59227.223310889996</v>
      </c>
      <c r="W52" s="104">
        <f t="shared" ref="W52:AA110" si="24">K52/1000000</f>
        <v>49823.714067760004</v>
      </c>
      <c r="X52" s="104">
        <f t="shared" si="24"/>
        <v>23406.47142034</v>
      </c>
      <c r="Y52" s="104">
        <f t="shared" si="24"/>
        <v>13185.14802902</v>
      </c>
      <c r="Z52" s="104">
        <f t="shared" si="24"/>
        <v>9652.32133282</v>
      </c>
      <c r="AA52" s="104">
        <f t="shared" si="24"/>
        <v>1341.67843131</v>
      </c>
      <c r="AB52" s="104">
        <f t="shared" ref="AB52:AG67" si="25">V52/P52%</f>
        <v>71.421244115536908</v>
      </c>
      <c r="AC52" s="104">
        <f t="shared" si="25"/>
        <v>72.764041891009114</v>
      </c>
      <c r="AD52" s="104">
        <f t="shared" si="25"/>
        <v>68.312144911268192</v>
      </c>
      <c r="AE52" s="104">
        <f t="shared" si="25"/>
        <v>66.259062331579131</v>
      </c>
      <c r="AF52" s="104">
        <f t="shared" si="25"/>
        <v>72.383651716182385</v>
      </c>
      <c r="AG52" s="105">
        <f t="shared" si="25"/>
        <v>57.988292184885808</v>
      </c>
      <c r="AH52" s="106"/>
    </row>
    <row r="53" spans="1:34" s="42" customFormat="1" x14ac:dyDescent="0.25">
      <c r="A53" s="107" t="s">
        <v>66</v>
      </c>
      <c r="B53" s="36">
        <v>5647961736.9799995</v>
      </c>
      <c r="C53" s="36">
        <v>130611855.51000001</v>
      </c>
      <c r="D53" s="36">
        <v>2270293561.4200001</v>
      </c>
      <c r="E53" s="119">
        <f>F53+G53+H53-E54</f>
        <v>3460323777.48</v>
      </c>
      <c r="F53" s="36">
        <v>1796441113.1900001</v>
      </c>
      <c r="G53" s="36">
        <v>1094161122.99</v>
      </c>
      <c r="H53" s="36">
        <v>617677794.88999999</v>
      </c>
      <c r="I53" s="36">
        <v>3614182131.6999998</v>
      </c>
      <c r="J53" s="36">
        <v>95656339.879999995</v>
      </c>
      <c r="K53" s="36">
        <v>1430323076.5799999</v>
      </c>
      <c r="L53" s="119">
        <f>M53+N53+O53-L54</f>
        <v>2242915985.79</v>
      </c>
      <c r="M53" s="36">
        <v>1069205097.73</v>
      </c>
      <c r="N53" s="36">
        <v>789947173.66999996</v>
      </c>
      <c r="O53" s="36">
        <v>420363123.59999996</v>
      </c>
      <c r="P53" s="38">
        <f>B53/1000000</f>
        <v>5647.9617369799998</v>
      </c>
      <c r="Q53" s="38">
        <f t="shared" si="23"/>
        <v>2270.2935614200001</v>
      </c>
      <c r="R53" s="38">
        <f t="shared" si="23"/>
        <v>3460.32377748</v>
      </c>
      <c r="S53" s="38">
        <f t="shared" si="23"/>
        <v>1796.4411131900001</v>
      </c>
      <c r="T53" s="38">
        <f t="shared" si="23"/>
        <v>1094.16112299</v>
      </c>
      <c r="U53" s="38">
        <f t="shared" si="23"/>
        <v>617.67779488999997</v>
      </c>
      <c r="V53" s="38">
        <f t="shared" si="23"/>
        <v>3614.1821316999999</v>
      </c>
      <c r="W53" s="38">
        <f t="shared" si="24"/>
        <v>1430.3230765799999</v>
      </c>
      <c r="X53" s="38">
        <f>L53/1000000</f>
        <v>2242.9159857899999</v>
      </c>
      <c r="Y53" s="38">
        <f>M53/1000000</f>
        <v>1069.20509773</v>
      </c>
      <c r="Z53" s="38">
        <f t="shared" si="24"/>
        <v>789.94717366999998</v>
      </c>
      <c r="AA53" s="38">
        <f t="shared" si="24"/>
        <v>420.36312359999994</v>
      </c>
      <c r="AB53" s="38">
        <f t="shared" si="25"/>
        <v>63.990910349766743</v>
      </c>
      <c r="AC53" s="38">
        <f t="shared" si="25"/>
        <v>63.001679645577461</v>
      </c>
      <c r="AD53" s="38">
        <f>X53/R53%</f>
        <v>64.818095936196343</v>
      </c>
      <c r="AE53" s="38">
        <f>Y53/S53%</f>
        <v>59.517959697068896</v>
      </c>
      <c r="AF53" s="38">
        <f t="shared" si="25"/>
        <v>72.196604053278875</v>
      </c>
      <c r="AG53" s="39">
        <f>AA53/U53%</f>
        <v>68.055404788326712</v>
      </c>
      <c r="AH53" s="40"/>
    </row>
    <row r="54" spans="1:34" s="275" customFormat="1" hidden="1" x14ac:dyDescent="0.25">
      <c r="A54" s="324" t="s">
        <v>67</v>
      </c>
      <c r="B54" s="325">
        <v>501617.08</v>
      </c>
      <c r="C54" s="326">
        <v>130611855.50999999</v>
      </c>
      <c r="D54" s="326">
        <v>83157219</v>
      </c>
      <c r="E54" s="327">
        <f>F54+G54+H54</f>
        <v>47956253.590000004</v>
      </c>
      <c r="F54" s="325">
        <v>0</v>
      </c>
      <c r="G54" s="326">
        <v>35571182.590000004</v>
      </c>
      <c r="H54" s="326">
        <v>12385071</v>
      </c>
      <c r="I54" s="328">
        <v>117637</v>
      </c>
      <c r="J54" s="328">
        <v>95656339.88000001</v>
      </c>
      <c r="K54" s="328">
        <v>59174567.670000002</v>
      </c>
      <c r="L54" s="327">
        <f>M54+N54+O54</f>
        <v>36599409.210000001</v>
      </c>
      <c r="M54" s="328">
        <v>0</v>
      </c>
      <c r="N54" s="328">
        <v>28643363.539999999</v>
      </c>
      <c r="O54" s="328">
        <v>7956045.6699999999</v>
      </c>
      <c r="P54" s="273">
        <f>B54/1000000</f>
        <v>0.50161708000000005</v>
      </c>
      <c r="Q54" s="273">
        <f t="shared" si="23"/>
        <v>83.157218999999998</v>
      </c>
      <c r="R54" s="273">
        <f>E54/1000000</f>
        <v>47.956253590000003</v>
      </c>
      <c r="S54" s="273">
        <f>F54/1000000</f>
        <v>0</v>
      </c>
      <c r="T54" s="273">
        <f t="shared" si="23"/>
        <v>35.571182590000006</v>
      </c>
      <c r="U54" s="273">
        <f t="shared" si="23"/>
        <v>12.385071</v>
      </c>
      <c r="V54" s="273"/>
      <c r="W54" s="273">
        <f t="shared" si="24"/>
        <v>59.174567670000002</v>
      </c>
      <c r="X54" s="273"/>
      <c r="Y54" s="273"/>
      <c r="Z54" s="273">
        <f t="shared" si="24"/>
        <v>28.643363539999999</v>
      </c>
      <c r="AA54" s="273">
        <f t="shared" si="24"/>
        <v>7.95604567</v>
      </c>
      <c r="AB54" s="273">
        <f t="shared" si="25"/>
        <v>0</v>
      </c>
      <c r="AC54" s="273">
        <f t="shared" si="25"/>
        <v>71.159868477564174</v>
      </c>
      <c r="AD54" s="273"/>
      <c r="AE54" s="273"/>
      <c r="AF54" s="273">
        <f t="shared" si="25"/>
        <v>80.524068795093712</v>
      </c>
      <c r="AG54" s="274">
        <f>AA54/U54%</f>
        <v>64.238999275821669</v>
      </c>
      <c r="AH54" s="329"/>
    </row>
    <row r="55" spans="1:34" s="42" customFormat="1" x14ac:dyDescent="0.25">
      <c r="A55" s="107" t="s">
        <v>68</v>
      </c>
      <c r="B55" s="36">
        <v>30413300</v>
      </c>
      <c r="C55" s="36">
        <v>54737000</v>
      </c>
      <c r="D55" s="36">
        <v>30413300</v>
      </c>
      <c r="E55" s="119">
        <f>F55+G55+H55-E56</f>
        <v>30413300</v>
      </c>
      <c r="F55" s="36">
        <v>6089600</v>
      </c>
      <c r="G55" s="36">
        <v>24323700</v>
      </c>
      <c r="H55" s="36">
        <v>24323700</v>
      </c>
      <c r="I55" s="36">
        <v>20144777.030000001</v>
      </c>
      <c r="J55" s="36">
        <v>39086525.549999997</v>
      </c>
      <c r="K55" s="36">
        <v>21596067.620000001</v>
      </c>
      <c r="L55" s="119">
        <f>M55+N55+O55-L56</f>
        <v>20144777.030000001</v>
      </c>
      <c r="M55" s="36">
        <v>4105609.69</v>
      </c>
      <c r="N55" s="36">
        <v>17490457.93</v>
      </c>
      <c r="O55" s="36">
        <v>16039167.34</v>
      </c>
      <c r="P55" s="38">
        <f t="shared" ref="P55:P107" si="26">B55/1000000</f>
        <v>30.4133</v>
      </c>
      <c r="Q55" s="38">
        <f t="shared" si="23"/>
        <v>30.4133</v>
      </c>
      <c r="R55" s="38">
        <f>E55/1000000</f>
        <v>30.4133</v>
      </c>
      <c r="S55" s="38">
        <f>F55/1000000</f>
        <v>6.0895999999999999</v>
      </c>
      <c r="T55" s="38">
        <f t="shared" si="23"/>
        <v>24.323699999999999</v>
      </c>
      <c r="U55" s="38">
        <f t="shared" si="23"/>
        <v>24.323699999999999</v>
      </c>
      <c r="V55" s="38">
        <f t="shared" si="23"/>
        <v>20.14477703</v>
      </c>
      <c r="W55" s="38">
        <f t="shared" si="24"/>
        <v>21.596067619999999</v>
      </c>
      <c r="X55" s="38">
        <f t="shared" si="24"/>
        <v>20.14477703</v>
      </c>
      <c r="Y55" s="38">
        <f>M55/1000000</f>
        <v>4.1056096899999996</v>
      </c>
      <c r="Z55" s="38">
        <f t="shared" si="24"/>
        <v>17.490457929999998</v>
      </c>
      <c r="AA55" s="38">
        <f t="shared" si="24"/>
        <v>16.039167339999999</v>
      </c>
      <c r="AB55" s="38">
        <f t="shared" si="25"/>
        <v>66.236735342761236</v>
      </c>
      <c r="AC55" s="38">
        <f t="shared" si="25"/>
        <v>71.008629842864806</v>
      </c>
      <c r="AD55" s="38">
        <f t="shared" si="25"/>
        <v>66.236735342761236</v>
      </c>
      <c r="AE55" s="38">
        <f>Y55/S55%</f>
        <v>67.420022497372571</v>
      </c>
      <c r="AF55" s="38">
        <f t="shared" si="25"/>
        <v>71.907061549024206</v>
      </c>
      <c r="AG55" s="39">
        <f>AA55/U55%</f>
        <v>65.940491537060566</v>
      </c>
      <c r="AH55" s="40">
        <f>N56-O55</f>
        <v>1451290.5899999999</v>
      </c>
    </row>
    <row r="56" spans="1:34" s="275" customFormat="1" hidden="1" x14ac:dyDescent="0.25">
      <c r="A56" s="324" t="s">
        <v>67</v>
      </c>
      <c r="B56" s="325">
        <v>0</v>
      </c>
      <c r="C56" s="325">
        <v>54737000</v>
      </c>
      <c r="D56" s="325">
        <v>30413300</v>
      </c>
      <c r="E56" s="330">
        <f>F56+G56+H56</f>
        <v>24323700</v>
      </c>
      <c r="F56" s="325">
        <v>0</v>
      </c>
      <c r="G56" s="325">
        <v>24323700</v>
      </c>
      <c r="H56" s="325">
        <v>0</v>
      </c>
      <c r="I56" s="325">
        <v>0</v>
      </c>
      <c r="J56" s="325">
        <v>39086525.549999997</v>
      </c>
      <c r="K56" s="325">
        <v>21596067.620000001</v>
      </c>
      <c r="L56" s="330">
        <f>M56+N56+O56</f>
        <v>17490457.93</v>
      </c>
      <c r="M56" s="325">
        <v>0</v>
      </c>
      <c r="N56" s="325">
        <v>17490457.93</v>
      </c>
      <c r="O56" s="325">
        <v>0</v>
      </c>
      <c r="P56" s="273">
        <f t="shared" si="26"/>
        <v>0</v>
      </c>
      <c r="Q56" s="273">
        <f t="shared" si="23"/>
        <v>30.4133</v>
      </c>
      <c r="R56" s="273"/>
      <c r="S56" s="273"/>
      <c r="T56" s="273">
        <f t="shared" si="23"/>
        <v>24.323699999999999</v>
      </c>
      <c r="U56" s="273">
        <f t="shared" si="23"/>
        <v>0</v>
      </c>
      <c r="V56" s="273">
        <f t="shared" si="23"/>
        <v>0</v>
      </c>
      <c r="W56" s="273">
        <f t="shared" si="24"/>
        <v>21.596067619999999</v>
      </c>
      <c r="X56" s="273"/>
      <c r="Y56" s="273"/>
      <c r="Z56" s="273">
        <f t="shared" si="24"/>
        <v>17.490457929999998</v>
      </c>
      <c r="AA56" s="273">
        <f t="shared" si="24"/>
        <v>0</v>
      </c>
      <c r="AB56" s="273"/>
      <c r="AC56" s="273">
        <f t="shared" si="25"/>
        <v>71.008629842864806</v>
      </c>
      <c r="AD56" s="273"/>
      <c r="AE56" s="273"/>
      <c r="AF56" s="273">
        <f t="shared" si="25"/>
        <v>71.907061549024206</v>
      </c>
      <c r="AG56" s="274"/>
      <c r="AH56" s="329"/>
    </row>
    <row r="57" spans="1:34" s="42" customFormat="1" ht="26.4" x14ac:dyDescent="0.25">
      <c r="A57" s="107" t="s">
        <v>69</v>
      </c>
      <c r="B57" s="36">
        <v>1285698964.28</v>
      </c>
      <c r="C57" s="36">
        <v>11803123.119999999</v>
      </c>
      <c r="D57" s="36">
        <v>1099210398.6700001</v>
      </c>
      <c r="E57" s="119">
        <f>F57+G57+H57-E58</f>
        <v>193530955.61000001</v>
      </c>
      <c r="F57" s="36">
        <v>143482077.68000001</v>
      </c>
      <c r="G57" s="36">
        <v>29056930.52</v>
      </c>
      <c r="H57" s="36">
        <v>25752680.530000001</v>
      </c>
      <c r="I57" s="36">
        <v>859912703.50999999</v>
      </c>
      <c r="J57" s="36">
        <v>10347388.779999999</v>
      </c>
      <c r="K57" s="36">
        <v>743794301.85000002</v>
      </c>
      <c r="L57" s="119">
        <f>M57+N57+O57-L58</f>
        <v>123160791.66</v>
      </c>
      <c r="M57" s="36">
        <v>96358360.959999993</v>
      </c>
      <c r="N57" s="36">
        <v>20560588.59</v>
      </c>
      <c r="O57" s="36">
        <v>9546840.8900000006</v>
      </c>
      <c r="P57" s="38">
        <f t="shared" si="26"/>
        <v>1285.6989642799999</v>
      </c>
      <c r="Q57" s="38">
        <f t="shared" si="23"/>
        <v>1099.2103986700001</v>
      </c>
      <c r="R57" s="38">
        <f>E57/1000000</f>
        <v>193.53095561000001</v>
      </c>
      <c r="S57" s="38">
        <f>F57/1000000</f>
        <v>143.48207768</v>
      </c>
      <c r="T57" s="38">
        <f t="shared" si="23"/>
        <v>29.056930519999998</v>
      </c>
      <c r="U57" s="38">
        <f t="shared" si="23"/>
        <v>25.752680530000003</v>
      </c>
      <c r="V57" s="38">
        <f t="shared" si="23"/>
        <v>859.91270351000003</v>
      </c>
      <c r="W57" s="38">
        <f t="shared" si="24"/>
        <v>743.79430185000001</v>
      </c>
      <c r="X57" s="38">
        <f t="shared" si="24"/>
        <v>123.16079166</v>
      </c>
      <c r="Y57" s="38">
        <f>M57/1000000</f>
        <v>96.358360959999999</v>
      </c>
      <c r="Z57" s="38">
        <f t="shared" si="24"/>
        <v>20.560588589999998</v>
      </c>
      <c r="AA57" s="38">
        <f t="shared" si="24"/>
        <v>9.5468408900000004</v>
      </c>
      <c r="AB57" s="38">
        <f t="shared" si="25"/>
        <v>66.882896183365673</v>
      </c>
      <c r="AC57" s="38">
        <f t="shared" si="25"/>
        <v>67.666235940813593</v>
      </c>
      <c r="AD57" s="38">
        <f t="shared" si="25"/>
        <v>63.638807172632035</v>
      </c>
      <c r="AE57" s="38">
        <f>Y57/S57%</f>
        <v>67.157071125567768</v>
      </c>
      <c r="AF57" s="38">
        <f t="shared" si="25"/>
        <v>70.75967152087199</v>
      </c>
      <c r="AG57" s="39">
        <f t="shared" si="25"/>
        <v>37.071251199961971</v>
      </c>
      <c r="AH57" s="40"/>
    </row>
    <row r="58" spans="1:34" s="275" customFormat="1" hidden="1" x14ac:dyDescent="0.25">
      <c r="A58" s="324" t="s">
        <v>67</v>
      </c>
      <c r="B58" s="325">
        <v>0</v>
      </c>
      <c r="C58" s="325">
        <v>11803123.119999999</v>
      </c>
      <c r="D58" s="325">
        <v>7042390</v>
      </c>
      <c r="E58" s="330">
        <f>F58+G58+H58</f>
        <v>4760733.12</v>
      </c>
      <c r="F58" s="325">
        <v>0</v>
      </c>
      <c r="G58" s="325">
        <v>4054733.12</v>
      </c>
      <c r="H58" s="325">
        <v>706000</v>
      </c>
      <c r="I58" s="325">
        <v>0</v>
      </c>
      <c r="J58" s="325">
        <v>10347388.779999999</v>
      </c>
      <c r="K58" s="325">
        <v>7042390</v>
      </c>
      <c r="L58" s="330">
        <f>M58+N58+O58</f>
        <v>3304998.7800000003</v>
      </c>
      <c r="M58" s="325">
        <v>0</v>
      </c>
      <c r="N58" s="325">
        <v>2820832.14</v>
      </c>
      <c r="O58" s="325">
        <v>484166.64</v>
      </c>
      <c r="P58" s="273"/>
      <c r="Q58" s="273">
        <f t="shared" si="23"/>
        <v>7.0423900000000001</v>
      </c>
      <c r="R58" s="273"/>
      <c r="S58" s="273"/>
      <c r="T58" s="273">
        <f t="shared" si="23"/>
        <v>4.0547331199999999</v>
      </c>
      <c r="U58" s="273">
        <f t="shared" si="23"/>
        <v>0.70599999999999996</v>
      </c>
      <c r="V58" s="273"/>
      <c r="W58" s="273">
        <f t="shared" si="24"/>
        <v>7.0423900000000001</v>
      </c>
      <c r="X58" s="273"/>
      <c r="Y58" s="273">
        <f t="shared" ref="Y58" si="27">M58/1000000</f>
        <v>0</v>
      </c>
      <c r="Z58" s="273">
        <f t="shared" si="24"/>
        <v>2.8208321400000003</v>
      </c>
      <c r="AA58" s="273">
        <f t="shared" si="24"/>
        <v>0.48416664000000004</v>
      </c>
      <c r="AB58" s="273"/>
      <c r="AC58" s="273">
        <f t="shared" si="25"/>
        <v>100</v>
      </c>
      <c r="AD58" s="273"/>
      <c r="AE58" s="273"/>
      <c r="AF58" s="273">
        <f t="shared" si="25"/>
        <v>69.568873129682089</v>
      </c>
      <c r="AG58" s="274">
        <f t="shared" si="25"/>
        <v>68.578844192634577</v>
      </c>
      <c r="AH58" s="329"/>
    </row>
    <row r="59" spans="1:34" s="42" customFormat="1" x14ac:dyDescent="0.25">
      <c r="A59" s="107" t="s">
        <v>70</v>
      </c>
      <c r="B59" s="36">
        <v>10508290526.25</v>
      </c>
      <c r="C59" s="36">
        <v>802664027.30999994</v>
      </c>
      <c r="D59" s="36">
        <v>8744795886</v>
      </c>
      <c r="E59" s="119">
        <f>F59+G59+H59-E60</f>
        <v>2381322109.25</v>
      </c>
      <c r="F59" s="36">
        <v>1783150204.1700001</v>
      </c>
      <c r="G59" s="36">
        <v>440854678.94</v>
      </c>
      <c r="H59" s="36">
        <v>342153784.44999999</v>
      </c>
      <c r="I59" s="36">
        <v>7270240938.9200001</v>
      </c>
      <c r="J59" s="36">
        <v>209487351.50999999</v>
      </c>
      <c r="K59" s="36">
        <v>6244247278.6800003</v>
      </c>
      <c r="L59" s="119">
        <f>M59+N59+O59-L60</f>
        <v>1157823612.4100001</v>
      </c>
      <c r="M59" s="36">
        <v>866411322.98000002</v>
      </c>
      <c r="N59" s="36">
        <v>209989936.05000001</v>
      </c>
      <c r="O59" s="36">
        <v>159079752.72</v>
      </c>
      <c r="P59" s="38">
        <f t="shared" si="26"/>
        <v>10508.290526250001</v>
      </c>
      <c r="Q59" s="38">
        <f t="shared" si="23"/>
        <v>8744.7958859999999</v>
      </c>
      <c r="R59" s="38">
        <f>E59/1000000</f>
        <v>2381.3221092499998</v>
      </c>
      <c r="S59" s="38">
        <f>F59/1000000</f>
        <v>1783.1502041700001</v>
      </c>
      <c r="T59" s="38">
        <f t="shared" si="23"/>
        <v>440.85467893999999</v>
      </c>
      <c r="U59" s="38">
        <f t="shared" si="23"/>
        <v>342.15378444999999</v>
      </c>
      <c r="V59" s="38">
        <f t="shared" si="23"/>
        <v>7270.2409389200002</v>
      </c>
      <c r="W59" s="38">
        <f t="shared" si="24"/>
        <v>6244.2472786799999</v>
      </c>
      <c r="X59" s="38">
        <f t="shared" si="24"/>
        <v>1157.8236124100001</v>
      </c>
      <c r="Y59" s="38">
        <f>M59/1000000</f>
        <v>866.41132298000002</v>
      </c>
      <c r="Z59" s="38">
        <f t="shared" si="24"/>
        <v>209.98993605000001</v>
      </c>
      <c r="AA59" s="38">
        <f t="shared" si="24"/>
        <v>159.07975271999999</v>
      </c>
      <c r="AB59" s="38">
        <f t="shared" si="25"/>
        <v>69.18576262008304</v>
      </c>
      <c r="AC59" s="38">
        <f t="shared" si="25"/>
        <v>71.405294761387637</v>
      </c>
      <c r="AD59" s="38">
        <f t="shared" si="25"/>
        <v>48.621041559751781</v>
      </c>
      <c r="AE59" s="38">
        <f>Y59/S59%</f>
        <v>48.58880205121514</v>
      </c>
      <c r="AF59" s="38">
        <f t="shared" si="25"/>
        <v>47.632461688941149</v>
      </c>
      <c r="AG59" s="39">
        <f t="shared" si="25"/>
        <v>46.493641149027482</v>
      </c>
      <c r="AH59" s="40"/>
    </row>
    <row r="60" spans="1:34" s="275" customFormat="1" hidden="1" x14ac:dyDescent="0.25">
      <c r="A60" s="324" t="s">
        <v>67</v>
      </c>
      <c r="B60" s="325">
        <v>12769391.15</v>
      </c>
      <c r="C60" s="325">
        <v>802664027.31000006</v>
      </c>
      <c r="D60" s="325">
        <v>630596860.1500001</v>
      </c>
      <c r="E60" s="330">
        <f>F60+G60+H60</f>
        <v>184836558.31</v>
      </c>
      <c r="F60" s="325">
        <v>0</v>
      </c>
      <c r="G60" s="325">
        <v>184164867.02000001</v>
      </c>
      <c r="H60" s="325">
        <v>671691.29</v>
      </c>
      <c r="I60" s="325">
        <v>10821.8</v>
      </c>
      <c r="J60" s="325">
        <v>209487351.51000002</v>
      </c>
      <c r="K60" s="325">
        <v>131840773.97</v>
      </c>
      <c r="L60" s="330">
        <f>M60+N60+O60</f>
        <v>77657399.340000004</v>
      </c>
      <c r="M60" s="325">
        <v>0</v>
      </c>
      <c r="N60" s="325">
        <v>77304888.090000004</v>
      </c>
      <c r="O60" s="325">
        <v>352511.25</v>
      </c>
      <c r="P60" s="273">
        <f t="shared" si="26"/>
        <v>12.769391150000001</v>
      </c>
      <c r="Q60" s="273">
        <f t="shared" si="23"/>
        <v>630.59686015000011</v>
      </c>
      <c r="R60" s="273"/>
      <c r="S60" s="273"/>
      <c r="T60" s="273">
        <f t="shared" si="23"/>
        <v>184.16486702</v>
      </c>
      <c r="U60" s="273">
        <f t="shared" si="23"/>
        <v>0.67169129000000005</v>
      </c>
      <c r="V60" s="273">
        <f t="shared" si="23"/>
        <v>1.0821799999999999E-2</v>
      </c>
      <c r="W60" s="273">
        <f t="shared" si="24"/>
        <v>131.84077396999999</v>
      </c>
      <c r="X60" s="273"/>
      <c r="Y60" s="273"/>
      <c r="Z60" s="273">
        <f t="shared" si="24"/>
        <v>77.304888090000006</v>
      </c>
      <c r="AA60" s="273">
        <f t="shared" si="24"/>
        <v>0.35251125</v>
      </c>
      <c r="AB60" s="273">
        <f t="shared" si="25"/>
        <v>8.4747971715158868E-2</v>
      </c>
      <c r="AC60" s="273">
        <f t="shared" si="25"/>
        <v>20.907299465246151</v>
      </c>
      <c r="AD60" s="331" t="s">
        <v>30</v>
      </c>
      <c r="AE60" s="331" t="s">
        <v>30</v>
      </c>
      <c r="AF60" s="273">
        <f t="shared" si="25"/>
        <v>41.975915027052807</v>
      </c>
      <c r="AG60" s="274">
        <f t="shared" si="25"/>
        <v>52.481140554911768</v>
      </c>
      <c r="AH60" s="329"/>
    </row>
    <row r="61" spans="1:34" x14ac:dyDescent="0.25">
      <c r="A61" s="108" t="s">
        <v>71</v>
      </c>
      <c r="B61" s="31">
        <v>538913632.47000003</v>
      </c>
      <c r="C61" s="31">
        <v>0</v>
      </c>
      <c r="D61" s="31">
        <v>538803501.13999999</v>
      </c>
      <c r="E61" s="348">
        <f>F61+G61+H61</f>
        <v>110131.33</v>
      </c>
      <c r="F61" s="31">
        <v>0</v>
      </c>
      <c r="G61" s="31">
        <v>50000</v>
      </c>
      <c r="H61" s="31">
        <v>60131.33</v>
      </c>
      <c r="I61" s="31">
        <v>352559122.76999998</v>
      </c>
      <c r="J61" s="31">
        <v>0</v>
      </c>
      <c r="K61" s="31">
        <v>352472584.76999998</v>
      </c>
      <c r="L61" s="348">
        <f>M61+N61+O61</f>
        <v>86538</v>
      </c>
      <c r="M61" s="31">
        <v>0</v>
      </c>
      <c r="N61" s="31">
        <v>41197</v>
      </c>
      <c r="O61" s="31">
        <v>45341</v>
      </c>
      <c r="P61" s="32">
        <f t="shared" si="26"/>
        <v>538.91363247000004</v>
      </c>
      <c r="Q61" s="32">
        <f t="shared" si="23"/>
        <v>538.80350113999998</v>
      </c>
      <c r="R61" s="32">
        <f>E61/1000000</f>
        <v>0.11013133</v>
      </c>
      <c r="S61" s="32">
        <f>F61/1000000</f>
        <v>0</v>
      </c>
      <c r="T61" s="32">
        <f t="shared" si="23"/>
        <v>0.05</v>
      </c>
      <c r="U61" s="32">
        <f t="shared" si="23"/>
        <v>6.0131330000000004E-2</v>
      </c>
      <c r="V61" s="32">
        <f t="shared" si="23"/>
        <v>352.55912276999999</v>
      </c>
      <c r="W61" s="32">
        <f t="shared" si="24"/>
        <v>352.47258476999997</v>
      </c>
      <c r="X61" s="32">
        <f>L61/1000000</f>
        <v>8.6538000000000004E-2</v>
      </c>
      <c r="Y61" s="32">
        <f>M61/1000000</f>
        <v>0</v>
      </c>
      <c r="Z61" s="32">
        <f t="shared" si="24"/>
        <v>4.1196999999999998E-2</v>
      </c>
      <c r="AA61" s="32">
        <f t="shared" si="24"/>
        <v>4.5340999999999999E-2</v>
      </c>
      <c r="AB61" s="32">
        <f t="shared" si="25"/>
        <v>65.420338534417397</v>
      </c>
      <c r="AC61" s="32">
        <f t="shared" si="25"/>
        <v>65.417649295937906</v>
      </c>
      <c r="AD61" s="32">
        <f>X61/R61%</f>
        <v>78.577095182633329</v>
      </c>
      <c r="AE61" s="54" t="s">
        <v>30</v>
      </c>
      <c r="AF61" s="32">
        <f t="shared" si="25"/>
        <v>82.393999999999991</v>
      </c>
      <c r="AG61" s="34">
        <f t="shared" si="25"/>
        <v>75.403288102890784</v>
      </c>
      <c r="AH61" s="30"/>
    </row>
    <row r="62" spans="1:34" hidden="1" x14ac:dyDescent="0.25">
      <c r="A62" s="108" t="s">
        <v>72</v>
      </c>
      <c r="B62" s="31">
        <v>59895156.579999998</v>
      </c>
      <c r="C62" s="31">
        <v>0</v>
      </c>
      <c r="D62" s="31">
        <v>53807957.5</v>
      </c>
      <c r="E62" s="119">
        <f>F62+G62+H62-E63</f>
        <v>6087199.0800000001</v>
      </c>
      <c r="F62" s="31">
        <v>3371800</v>
      </c>
      <c r="G62" s="31">
        <v>309100</v>
      </c>
      <c r="H62" s="31">
        <v>2406299.08</v>
      </c>
      <c r="I62" s="31">
        <v>43311714</v>
      </c>
      <c r="J62" s="31">
        <v>0</v>
      </c>
      <c r="K62" s="31">
        <v>39601379.329999998</v>
      </c>
      <c r="L62" s="120">
        <f>M62+N62+O62-L63</f>
        <v>3710334.67</v>
      </c>
      <c r="M62" s="31">
        <v>1845289.5</v>
      </c>
      <c r="N62" s="31">
        <v>254373.17</v>
      </c>
      <c r="O62" s="31">
        <v>1610672</v>
      </c>
      <c r="P62" s="32">
        <f t="shared" si="26"/>
        <v>59.895156579999998</v>
      </c>
      <c r="Q62" s="32">
        <f t="shared" si="23"/>
        <v>53.807957500000001</v>
      </c>
      <c r="R62" s="32">
        <f>E62/1000000</f>
        <v>6.0871990800000004</v>
      </c>
      <c r="S62" s="32">
        <f>F62/1000000</f>
        <v>3.3717999999999999</v>
      </c>
      <c r="T62" s="32">
        <f t="shared" si="23"/>
        <v>0.30909999999999999</v>
      </c>
      <c r="U62" s="32">
        <f t="shared" si="23"/>
        <v>2.4062990800000001</v>
      </c>
      <c r="V62" s="32">
        <f t="shared" si="23"/>
        <v>43.311714000000002</v>
      </c>
      <c r="W62" s="32">
        <f t="shared" si="24"/>
        <v>39.60137933</v>
      </c>
      <c r="X62" s="32">
        <f>L62/1000000</f>
        <v>3.7103346699999999</v>
      </c>
      <c r="Y62" s="32">
        <f>M62/1000000</f>
        <v>1.8452895</v>
      </c>
      <c r="Z62" s="32">
        <f t="shared" si="24"/>
        <v>0.25437317000000004</v>
      </c>
      <c r="AA62" s="32">
        <f t="shared" si="24"/>
        <v>1.6106720000000001</v>
      </c>
      <c r="AB62" s="32">
        <f t="shared" si="25"/>
        <v>72.312548247786893</v>
      </c>
      <c r="AC62" s="32">
        <f t="shared" si="25"/>
        <v>73.597626020277758</v>
      </c>
      <c r="AD62" s="32">
        <f>X62/R62%</f>
        <v>60.953069239851438</v>
      </c>
      <c r="AE62" s="32">
        <f>Y62/S62%</f>
        <v>54.727133875081563</v>
      </c>
      <c r="AF62" s="32">
        <f t="shared" si="25"/>
        <v>82.294781624069898</v>
      </c>
      <c r="AG62" s="34">
        <f t="shared" si="25"/>
        <v>66.935652903129565</v>
      </c>
      <c r="AH62" s="30"/>
    </row>
    <row r="63" spans="1:34" s="275" customFormat="1" hidden="1" x14ac:dyDescent="0.25">
      <c r="A63" s="324" t="s">
        <v>73</v>
      </c>
      <c r="B63" s="328"/>
      <c r="C63" s="328"/>
      <c r="D63" s="328"/>
      <c r="E63" s="330">
        <f>F63+G63+H63</f>
        <v>0</v>
      </c>
      <c r="F63" s="328"/>
      <c r="G63" s="328"/>
      <c r="H63" s="328"/>
      <c r="I63" s="328"/>
      <c r="J63" s="328"/>
      <c r="K63" s="328"/>
      <c r="L63" s="330">
        <f>M63+N63+O63</f>
        <v>0</v>
      </c>
      <c r="M63" s="328"/>
      <c r="N63" s="328"/>
      <c r="O63" s="328"/>
      <c r="P63" s="273"/>
      <c r="Q63" s="273">
        <f t="shared" si="23"/>
        <v>0</v>
      </c>
      <c r="R63" s="273"/>
      <c r="S63" s="273"/>
      <c r="T63" s="273">
        <f t="shared" si="23"/>
        <v>0</v>
      </c>
      <c r="U63" s="273">
        <f t="shared" si="23"/>
        <v>0</v>
      </c>
      <c r="V63" s="273"/>
      <c r="W63" s="273">
        <f t="shared" si="24"/>
        <v>0</v>
      </c>
      <c r="X63" s="273"/>
      <c r="Y63" s="273"/>
      <c r="Z63" s="273">
        <f t="shared" si="24"/>
        <v>0</v>
      </c>
      <c r="AA63" s="273">
        <f t="shared" si="24"/>
        <v>0</v>
      </c>
      <c r="AB63" s="332"/>
      <c r="AC63" s="273" t="e">
        <f t="shared" si="25"/>
        <v>#DIV/0!</v>
      </c>
      <c r="AD63" s="273"/>
      <c r="AE63" s="273" t="e">
        <f t="shared" ref="AE63:AE65" si="28">Y63/S63%</f>
        <v>#DIV/0!</v>
      </c>
      <c r="AF63" s="273"/>
      <c r="AG63" s="274" t="e">
        <f t="shared" si="25"/>
        <v>#DIV/0!</v>
      </c>
      <c r="AH63" s="329"/>
    </row>
    <row r="64" spans="1:34" x14ac:dyDescent="0.25">
      <c r="A64" s="108" t="s">
        <v>74</v>
      </c>
      <c r="B64" s="31">
        <v>994552392.75999999</v>
      </c>
      <c r="C64" s="31">
        <v>358100</v>
      </c>
      <c r="D64" s="31">
        <v>982258710.57000005</v>
      </c>
      <c r="E64" s="119">
        <f>F64+G64+H64-E65</f>
        <v>12473682.189999999</v>
      </c>
      <c r="F64" s="31">
        <v>0</v>
      </c>
      <c r="G64" s="31">
        <v>12626782.189999999</v>
      </c>
      <c r="H64" s="31">
        <v>25000</v>
      </c>
      <c r="I64" s="31">
        <v>781078474.38999999</v>
      </c>
      <c r="J64" s="31">
        <v>358100</v>
      </c>
      <c r="K64" s="31">
        <v>773467838.30999994</v>
      </c>
      <c r="L64" s="120">
        <f>M64+N64+O64-L65</f>
        <v>7790636.0800000001</v>
      </c>
      <c r="M64" s="31">
        <v>0</v>
      </c>
      <c r="N64" s="31">
        <v>7943736.0800000001</v>
      </c>
      <c r="O64" s="31">
        <v>25000</v>
      </c>
      <c r="P64" s="32">
        <f t="shared" si="26"/>
        <v>994.55239275999998</v>
      </c>
      <c r="Q64" s="32">
        <f t="shared" si="23"/>
        <v>982.25871057000006</v>
      </c>
      <c r="R64" s="32">
        <f>E64/1000000</f>
        <v>12.47368219</v>
      </c>
      <c r="S64" s="32">
        <f>F64/1000000</f>
        <v>0</v>
      </c>
      <c r="T64" s="32">
        <f t="shared" si="23"/>
        <v>12.62678219</v>
      </c>
      <c r="U64" s="32">
        <f t="shared" si="23"/>
        <v>2.5000000000000001E-2</v>
      </c>
      <c r="V64" s="32">
        <f t="shared" si="23"/>
        <v>781.07847439</v>
      </c>
      <c r="W64" s="32">
        <f t="shared" si="24"/>
        <v>773.46783830999993</v>
      </c>
      <c r="X64" s="32">
        <f>L64/1000000</f>
        <v>7.7906360800000005</v>
      </c>
      <c r="Y64" s="32">
        <f>M64/1000000</f>
        <v>0</v>
      </c>
      <c r="Z64" s="32">
        <f t="shared" si="24"/>
        <v>7.9437360799999999</v>
      </c>
      <c r="AA64" s="32">
        <f t="shared" si="24"/>
        <v>2.5000000000000001E-2</v>
      </c>
      <c r="AB64" s="32">
        <f t="shared" si="25"/>
        <v>78.535678972368189</v>
      </c>
      <c r="AC64" s="32">
        <f t="shared" si="25"/>
        <v>78.743800384438458</v>
      </c>
      <c r="AD64" s="32">
        <f>X64/R64%</f>
        <v>62.456586285689234</v>
      </c>
      <c r="AE64" s="54" t="s">
        <v>30</v>
      </c>
      <c r="AF64" s="32">
        <f t="shared" si="25"/>
        <v>62.911800967717497</v>
      </c>
      <c r="AG64" s="34">
        <f>AA64/U64%</f>
        <v>100</v>
      </c>
      <c r="AH64" s="30"/>
    </row>
    <row r="65" spans="1:34" s="275" customFormat="1" hidden="1" x14ac:dyDescent="0.25">
      <c r="A65" s="324" t="s">
        <v>73</v>
      </c>
      <c r="B65" s="328">
        <v>0</v>
      </c>
      <c r="C65" s="328">
        <v>358100</v>
      </c>
      <c r="D65" s="328">
        <v>180000</v>
      </c>
      <c r="E65" s="330">
        <f>F65+G65+H65</f>
        <v>178100</v>
      </c>
      <c r="F65" s="328">
        <v>0</v>
      </c>
      <c r="G65" s="328">
        <v>178100</v>
      </c>
      <c r="H65" s="328">
        <v>0</v>
      </c>
      <c r="I65" s="333">
        <v>0</v>
      </c>
      <c r="J65" s="333">
        <v>358100</v>
      </c>
      <c r="K65" s="333">
        <v>180000</v>
      </c>
      <c r="L65" s="330">
        <f>M65+N65+O65</f>
        <v>178100</v>
      </c>
      <c r="M65" s="333">
        <v>0</v>
      </c>
      <c r="N65" s="333">
        <v>178100</v>
      </c>
      <c r="O65" s="333">
        <v>0</v>
      </c>
      <c r="P65" s="273"/>
      <c r="Q65" s="273">
        <f t="shared" si="23"/>
        <v>0.18</v>
      </c>
      <c r="R65" s="273"/>
      <c r="S65" s="273"/>
      <c r="T65" s="273">
        <f t="shared" si="23"/>
        <v>0.17810000000000001</v>
      </c>
      <c r="U65" s="273">
        <f t="shared" si="23"/>
        <v>0</v>
      </c>
      <c r="V65" s="273"/>
      <c r="W65" s="273">
        <f t="shared" si="24"/>
        <v>0.18</v>
      </c>
      <c r="X65" s="273"/>
      <c r="Y65" s="273"/>
      <c r="Z65" s="273">
        <f t="shared" si="24"/>
        <v>0.17810000000000001</v>
      </c>
      <c r="AA65" s="273">
        <f t="shared" si="24"/>
        <v>0</v>
      </c>
      <c r="AB65" s="273"/>
      <c r="AC65" s="273">
        <f t="shared" si="25"/>
        <v>100</v>
      </c>
      <c r="AD65" s="273"/>
      <c r="AE65" s="334" t="e">
        <f t="shared" si="28"/>
        <v>#DIV/0!</v>
      </c>
      <c r="AF65" s="273">
        <f t="shared" si="25"/>
        <v>100</v>
      </c>
      <c r="AG65" s="274"/>
      <c r="AH65" s="329"/>
    </row>
    <row r="66" spans="1:34" x14ac:dyDescent="0.25">
      <c r="A66" s="108" t="s">
        <v>75</v>
      </c>
      <c r="B66" s="113">
        <v>118177377.31</v>
      </c>
      <c r="C66" s="113">
        <v>2754000</v>
      </c>
      <c r="D66" s="113">
        <v>115398577.31</v>
      </c>
      <c r="E66" s="119">
        <f>F66+G66+H66-E67</f>
        <v>2778800</v>
      </c>
      <c r="F66" s="113">
        <v>0</v>
      </c>
      <c r="G66" s="113">
        <v>2755600</v>
      </c>
      <c r="H66" s="113">
        <v>2777200</v>
      </c>
      <c r="I66" s="31">
        <v>103477140.54000001</v>
      </c>
      <c r="J66" s="31">
        <v>2754000</v>
      </c>
      <c r="K66" s="31">
        <v>100723140.54000001</v>
      </c>
      <c r="L66" s="120">
        <f>M66+N66+O66-L67</f>
        <v>2754000</v>
      </c>
      <c r="M66" s="31">
        <v>0</v>
      </c>
      <c r="N66" s="31">
        <v>2754000</v>
      </c>
      <c r="O66" s="31">
        <v>2754000</v>
      </c>
      <c r="P66" s="32">
        <f t="shared" si="26"/>
        <v>118.17737731</v>
      </c>
      <c r="Q66" s="32">
        <f t="shared" si="23"/>
        <v>115.39857731000001</v>
      </c>
      <c r="R66" s="32">
        <f>E66/1000000</f>
        <v>2.7787999999999999</v>
      </c>
      <c r="S66" s="32">
        <f>F66/1000000</f>
        <v>0</v>
      </c>
      <c r="T66" s="32">
        <f t="shared" si="23"/>
        <v>2.7555999999999998</v>
      </c>
      <c r="U66" s="32">
        <f t="shared" si="23"/>
        <v>2.7772000000000001</v>
      </c>
      <c r="V66" s="32">
        <f t="shared" si="23"/>
        <v>103.47714054000001</v>
      </c>
      <c r="W66" s="32">
        <f t="shared" si="24"/>
        <v>100.72314054</v>
      </c>
      <c r="X66" s="32">
        <f>L66/1000000</f>
        <v>2.754</v>
      </c>
      <c r="Y66" s="32">
        <f>M66/1000000</f>
        <v>0</v>
      </c>
      <c r="Z66" s="32">
        <f t="shared" si="24"/>
        <v>2.754</v>
      </c>
      <c r="AA66" s="32">
        <f t="shared" si="24"/>
        <v>2.754</v>
      </c>
      <c r="AB66" s="32">
        <f t="shared" si="25"/>
        <v>87.560870697410479</v>
      </c>
      <c r="AC66" s="32">
        <f t="shared" si="25"/>
        <v>87.282826953250236</v>
      </c>
      <c r="AD66" s="32">
        <f>X66/R66%</f>
        <v>99.107528429537936</v>
      </c>
      <c r="AE66" s="54" t="s">
        <v>30</v>
      </c>
      <c r="AF66" s="32">
        <f t="shared" si="25"/>
        <v>99.94193642038033</v>
      </c>
      <c r="AG66" s="34">
        <f>AA66/U66%</f>
        <v>99.164626242258379</v>
      </c>
      <c r="AH66" s="30"/>
    </row>
    <row r="67" spans="1:34" s="275" customFormat="1" hidden="1" x14ac:dyDescent="0.25">
      <c r="A67" s="324" t="s">
        <v>73</v>
      </c>
      <c r="B67" s="333">
        <v>0</v>
      </c>
      <c r="C67" s="333">
        <v>2754000</v>
      </c>
      <c r="D67" s="333">
        <v>0</v>
      </c>
      <c r="E67" s="330">
        <f>F67+G67+H67</f>
        <v>2754000</v>
      </c>
      <c r="F67" s="333">
        <v>0</v>
      </c>
      <c r="G67" s="333">
        <v>2754000</v>
      </c>
      <c r="H67" s="333">
        <v>0</v>
      </c>
      <c r="I67" s="333">
        <v>0</v>
      </c>
      <c r="J67" s="333">
        <v>2754000</v>
      </c>
      <c r="K67" s="333">
        <v>0</v>
      </c>
      <c r="L67" s="330">
        <f>M67+N67+O67</f>
        <v>2754000</v>
      </c>
      <c r="M67" s="333">
        <v>0</v>
      </c>
      <c r="N67" s="333">
        <v>2754000</v>
      </c>
      <c r="O67" s="333">
        <v>0</v>
      </c>
      <c r="P67" s="273"/>
      <c r="Q67" s="273">
        <f t="shared" si="23"/>
        <v>0</v>
      </c>
      <c r="R67" s="273"/>
      <c r="S67" s="273"/>
      <c r="T67" s="273">
        <f t="shared" si="23"/>
        <v>2.754</v>
      </c>
      <c r="U67" s="273">
        <f t="shared" si="23"/>
        <v>0</v>
      </c>
      <c r="V67" s="273"/>
      <c r="W67" s="273">
        <f t="shared" si="24"/>
        <v>0</v>
      </c>
      <c r="X67" s="273"/>
      <c r="Y67" s="273"/>
      <c r="Z67" s="273">
        <f t="shared" si="24"/>
        <v>2.754</v>
      </c>
      <c r="AA67" s="273">
        <f t="shared" si="24"/>
        <v>0</v>
      </c>
      <c r="AB67" s="273"/>
      <c r="AC67" s="273" t="e">
        <f t="shared" si="25"/>
        <v>#DIV/0!</v>
      </c>
      <c r="AD67" s="273"/>
      <c r="AE67" s="334" t="s">
        <v>30</v>
      </c>
      <c r="AF67" s="273">
        <f>Z67/T67%</f>
        <v>100</v>
      </c>
      <c r="AG67" s="274"/>
      <c r="AH67" s="329"/>
    </row>
    <row r="68" spans="1:34" x14ac:dyDescent="0.25">
      <c r="A68" s="108" t="s">
        <v>76</v>
      </c>
      <c r="B68" s="31">
        <v>819895525</v>
      </c>
      <c r="C68" s="31">
        <v>0</v>
      </c>
      <c r="D68" s="31">
        <v>819635525</v>
      </c>
      <c r="E68" s="119">
        <f>F68+G68+H68-E69</f>
        <v>260000</v>
      </c>
      <c r="F68" s="31">
        <v>0</v>
      </c>
      <c r="G68" s="31">
        <v>0</v>
      </c>
      <c r="H68" s="31">
        <v>260000</v>
      </c>
      <c r="I68" s="31">
        <v>553290675.49000001</v>
      </c>
      <c r="J68" s="31">
        <v>0</v>
      </c>
      <c r="K68" s="31">
        <v>553290675.49000001</v>
      </c>
      <c r="L68" s="119">
        <f>M68+N68+O68-L69</f>
        <v>0</v>
      </c>
      <c r="M68" s="31">
        <v>0</v>
      </c>
      <c r="N68" s="31">
        <v>0</v>
      </c>
      <c r="O68" s="31">
        <v>0</v>
      </c>
      <c r="P68" s="32">
        <f t="shared" si="26"/>
        <v>819.89552500000002</v>
      </c>
      <c r="Q68" s="32">
        <f>D68/1000000</f>
        <v>819.63552500000003</v>
      </c>
      <c r="R68" s="32">
        <f>E68/1000000</f>
        <v>0.26</v>
      </c>
      <c r="S68" s="32">
        <f>F68/1000000</f>
        <v>0</v>
      </c>
      <c r="T68" s="32">
        <f t="shared" ref="T68:V109" si="29">G68/1000000</f>
        <v>0</v>
      </c>
      <c r="U68" s="32">
        <f t="shared" si="29"/>
        <v>0.26</v>
      </c>
      <c r="V68" s="32">
        <f t="shared" si="29"/>
        <v>553.29067549000001</v>
      </c>
      <c r="W68" s="32">
        <f t="shared" si="24"/>
        <v>553.29067549000001</v>
      </c>
      <c r="X68" s="32">
        <f>L68/1000000</f>
        <v>0</v>
      </c>
      <c r="Y68" s="32">
        <f>M68/1000000</f>
        <v>0</v>
      </c>
      <c r="Z68" s="32">
        <f t="shared" si="24"/>
        <v>0</v>
      </c>
      <c r="AA68" s="32">
        <f t="shared" si="24"/>
        <v>0</v>
      </c>
      <c r="AB68" s="32">
        <f>V68/P68%</f>
        <v>67.483070539993491</v>
      </c>
      <c r="AC68" s="32">
        <f>W68/Q68%</f>
        <v>67.504477125976209</v>
      </c>
      <c r="AD68" s="32">
        <f t="shared" ref="AD68" si="30">X68/R68%</f>
        <v>0</v>
      </c>
      <c r="AE68" s="54" t="s">
        <v>30</v>
      </c>
      <c r="AF68" s="54" t="s">
        <v>30</v>
      </c>
      <c r="AG68" s="34">
        <f t="shared" ref="AF68:AG69" si="31">AA68/U68%</f>
        <v>0</v>
      </c>
      <c r="AH68" s="30"/>
    </row>
    <row r="69" spans="1:34" s="275" customFormat="1" hidden="1" x14ac:dyDescent="0.25">
      <c r="A69" s="324" t="s">
        <v>73</v>
      </c>
      <c r="B69" s="328"/>
      <c r="C69" s="328"/>
      <c r="D69" s="328"/>
      <c r="E69" s="330">
        <f>F69+G69+H69</f>
        <v>0</v>
      </c>
      <c r="F69" s="328"/>
      <c r="G69" s="328"/>
      <c r="H69" s="328"/>
      <c r="I69" s="349"/>
      <c r="J69" s="349"/>
      <c r="K69" s="349"/>
      <c r="L69" s="330">
        <f>M69+N69+O69</f>
        <v>0</v>
      </c>
      <c r="M69" s="328"/>
      <c r="N69" s="328"/>
      <c r="O69" s="328"/>
      <c r="P69" s="273"/>
      <c r="Q69" s="273">
        <f t="shared" ref="Q69:S110" si="32">D69/1000000</f>
        <v>0</v>
      </c>
      <c r="R69" s="273"/>
      <c r="S69" s="273"/>
      <c r="T69" s="273">
        <f>G69/1000000</f>
        <v>0</v>
      </c>
      <c r="U69" s="273">
        <f t="shared" si="29"/>
        <v>0</v>
      </c>
      <c r="V69" s="273"/>
      <c r="W69" s="273">
        <f>K69/1000000</f>
        <v>0</v>
      </c>
      <c r="X69" s="273"/>
      <c r="Y69" s="273"/>
      <c r="Z69" s="273">
        <f>N69/1000000</f>
        <v>0</v>
      </c>
      <c r="AA69" s="273"/>
      <c r="AB69" s="332"/>
      <c r="AC69" s="273"/>
      <c r="AD69" s="273"/>
      <c r="AE69" s="273"/>
      <c r="AF69" s="273" t="e">
        <f t="shared" si="31"/>
        <v>#DIV/0!</v>
      </c>
      <c r="AG69" s="274"/>
      <c r="AH69" s="329"/>
    </row>
    <row r="70" spans="1:34" x14ac:dyDescent="0.25">
      <c r="A70" s="108" t="s">
        <v>77</v>
      </c>
      <c r="B70" s="31">
        <v>735897033.91999996</v>
      </c>
      <c r="C70" s="31">
        <v>158545831.09</v>
      </c>
      <c r="D70" s="31">
        <v>590962249.98000002</v>
      </c>
      <c r="E70" s="119">
        <f>F70+G70+H70-E71</f>
        <v>299094183.94</v>
      </c>
      <c r="F70" s="31">
        <v>250144507.94</v>
      </c>
      <c r="G70" s="31">
        <v>41941059</v>
      </c>
      <c r="H70" s="31">
        <v>11395048.09</v>
      </c>
      <c r="I70" s="31">
        <v>418746345.43000001</v>
      </c>
      <c r="J70" s="31">
        <v>606531.09</v>
      </c>
      <c r="K70" s="31">
        <v>339286407.31999999</v>
      </c>
      <c r="L70" s="120">
        <f>M70+N70+O70-L71</f>
        <v>79709938.109999999</v>
      </c>
      <c r="M70" s="31">
        <v>53860741.140000001</v>
      </c>
      <c r="N70" s="31">
        <v>21835489.34</v>
      </c>
      <c r="O70" s="31">
        <v>4370238.72</v>
      </c>
      <c r="P70" s="32">
        <f t="shared" si="26"/>
        <v>735.89703392000001</v>
      </c>
      <c r="Q70" s="32">
        <f t="shared" si="32"/>
        <v>590.96224998000002</v>
      </c>
      <c r="R70" s="32">
        <f>E70/1000000</f>
        <v>299.09418393999999</v>
      </c>
      <c r="S70" s="32">
        <f>F70/1000000</f>
        <v>250.14450794000001</v>
      </c>
      <c r="T70" s="32">
        <f t="shared" si="29"/>
        <v>41.941059000000003</v>
      </c>
      <c r="U70" s="32">
        <f t="shared" si="29"/>
        <v>11.39504809</v>
      </c>
      <c r="V70" s="32">
        <f t="shared" si="29"/>
        <v>418.74634543000002</v>
      </c>
      <c r="W70" s="32">
        <f t="shared" si="24"/>
        <v>339.28640731999997</v>
      </c>
      <c r="X70" s="32">
        <f>L70/1000000</f>
        <v>79.709938109999996</v>
      </c>
      <c r="Y70" s="32">
        <f>M70/1000000</f>
        <v>53.860741140000002</v>
      </c>
      <c r="Z70" s="32">
        <f t="shared" si="24"/>
        <v>21.835489339999999</v>
      </c>
      <c r="AA70" s="32">
        <f t="shared" si="24"/>
        <v>4.3702387199999997</v>
      </c>
      <c r="AB70" s="32">
        <f>V70/P70%</f>
        <v>56.902844573161076</v>
      </c>
      <c r="AC70" s="32">
        <f t="shared" ref="AC70:AE129" si="33">W70/Q70%</f>
        <v>57.412534782294884</v>
      </c>
      <c r="AD70" s="32">
        <f>X70/R70%</f>
        <v>26.650447380812416</v>
      </c>
      <c r="AE70" s="32">
        <f>Y70/S70%</f>
        <v>21.531850362638824</v>
      </c>
      <c r="AF70" s="32">
        <f>Z70/T70%</f>
        <v>52.0623223652984</v>
      </c>
      <c r="AG70" s="34">
        <f>AA70/U70%</f>
        <v>38.352086673817624</v>
      </c>
      <c r="AH70" s="30"/>
    </row>
    <row r="71" spans="1:34" s="275" customFormat="1" hidden="1" x14ac:dyDescent="0.25">
      <c r="A71" s="324" t="s">
        <v>73</v>
      </c>
      <c r="B71" s="328">
        <v>45021.43</v>
      </c>
      <c r="C71" s="328">
        <v>158545831.09</v>
      </c>
      <c r="D71" s="328">
        <v>154204421.43000001</v>
      </c>
      <c r="E71" s="330">
        <f>F71+G71+H71</f>
        <v>4386431.09</v>
      </c>
      <c r="F71" s="328">
        <v>0</v>
      </c>
      <c r="G71" s="328">
        <v>4386431.09</v>
      </c>
      <c r="H71" s="328">
        <v>0</v>
      </c>
      <c r="I71" s="328">
        <v>0</v>
      </c>
      <c r="J71" s="328">
        <v>606531.09</v>
      </c>
      <c r="K71" s="328">
        <v>250000</v>
      </c>
      <c r="L71" s="330">
        <f>M71+N71+O71</f>
        <v>356531.09</v>
      </c>
      <c r="M71" s="328">
        <v>0</v>
      </c>
      <c r="N71" s="328">
        <v>356531.09</v>
      </c>
      <c r="O71" s="328">
        <v>0</v>
      </c>
      <c r="P71" s="273"/>
      <c r="Q71" s="273">
        <f t="shared" si="32"/>
        <v>154.20442143</v>
      </c>
      <c r="R71" s="273"/>
      <c r="S71" s="273"/>
      <c r="T71" s="273">
        <f t="shared" si="29"/>
        <v>4.3864310899999994</v>
      </c>
      <c r="U71" s="273">
        <f t="shared" si="29"/>
        <v>0</v>
      </c>
      <c r="V71" s="273"/>
      <c r="W71" s="273">
        <f t="shared" si="24"/>
        <v>0.25</v>
      </c>
      <c r="X71" s="273"/>
      <c r="Y71" s="273"/>
      <c r="Z71" s="273">
        <f t="shared" si="24"/>
        <v>0.35653109000000005</v>
      </c>
      <c r="AA71" s="273">
        <f t="shared" si="24"/>
        <v>0</v>
      </c>
      <c r="AB71" s="273"/>
      <c r="AC71" s="273">
        <f t="shared" si="33"/>
        <v>0.16212245905898731</v>
      </c>
      <c r="AD71" s="273"/>
      <c r="AE71" s="273"/>
      <c r="AF71" s="273">
        <f t="shared" ref="AF71:AG88" si="34">Z71/T71%</f>
        <v>8.1280449341334595</v>
      </c>
      <c r="AG71" s="274" t="e">
        <f t="shared" si="34"/>
        <v>#DIV/0!</v>
      </c>
      <c r="AH71" s="329"/>
    </row>
    <row r="72" spans="1:34" x14ac:dyDescent="0.25">
      <c r="A72" s="108" t="s">
        <v>78</v>
      </c>
      <c r="B72" s="31">
        <v>6654291899.1700001</v>
      </c>
      <c r="C72" s="31">
        <v>625606038.75999999</v>
      </c>
      <c r="D72" s="31">
        <v>5226407500</v>
      </c>
      <c r="E72" s="119">
        <f>F72+G72+H72-E73</f>
        <v>1881915199.1699998</v>
      </c>
      <c r="F72" s="31">
        <v>1420497439.3499999</v>
      </c>
      <c r="G72" s="31">
        <v>329162779.88999999</v>
      </c>
      <c r="H72" s="31">
        <v>303830218.69</v>
      </c>
      <c r="I72" s="31">
        <v>4628292686.1000004</v>
      </c>
      <c r="J72" s="31">
        <v>191387067.08000001</v>
      </c>
      <c r="K72" s="31">
        <v>3769795968.4400001</v>
      </c>
      <c r="L72" s="120">
        <f>M72+N72+O72-L73</f>
        <v>980738804.95000005</v>
      </c>
      <c r="M72" s="31">
        <v>760546695.23000002</v>
      </c>
      <c r="N72" s="31">
        <v>150003303.19</v>
      </c>
      <c r="O72" s="31">
        <v>139333786.31999999</v>
      </c>
      <c r="P72" s="32">
        <f t="shared" si="26"/>
        <v>6654.2918991699999</v>
      </c>
      <c r="Q72" s="32">
        <f t="shared" si="32"/>
        <v>5226.4075000000003</v>
      </c>
      <c r="R72" s="32">
        <f>E72/1000000</f>
        <v>1881.9151991699998</v>
      </c>
      <c r="S72" s="32">
        <f>F72/1000000</f>
        <v>1420.4974393499999</v>
      </c>
      <c r="T72" s="32">
        <f t="shared" si="29"/>
        <v>329.16277988999997</v>
      </c>
      <c r="U72" s="32">
        <f t="shared" si="29"/>
        <v>303.83021868999998</v>
      </c>
      <c r="V72" s="32">
        <f t="shared" si="29"/>
        <v>4628.2926861000005</v>
      </c>
      <c r="W72" s="32">
        <f t="shared" si="24"/>
        <v>3769.7959684400003</v>
      </c>
      <c r="X72" s="32">
        <f>L72/1000000</f>
        <v>980.73880495000003</v>
      </c>
      <c r="Y72" s="32">
        <f>M72/1000000</f>
        <v>760.54669523000007</v>
      </c>
      <c r="Z72" s="32">
        <f t="shared" si="24"/>
        <v>150.00330319</v>
      </c>
      <c r="AA72" s="32">
        <f t="shared" si="24"/>
        <v>139.33378632</v>
      </c>
      <c r="AB72" s="32">
        <f>V72/P72%</f>
        <v>69.553496543746377</v>
      </c>
      <c r="AC72" s="32">
        <f t="shared" si="33"/>
        <v>72.129774963777692</v>
      </c>
      <c r="AD72" s="32">
        <f>X72/R72%</f>
        <v>52.113868115978093</v>
      </c>
      <c r="AE72" s="32">
        <f>Y72/S72%</f>
        <v>53.540870554333118</v>
      </c>
      <c r="AF72" s="32">
        <f t="shared" si="34"/>
        <v>45.571161854972878</v>
      </c>
      <c r="AG72" s="34">
        <f t="shared" si="34"/>
        <v>45.859094240445913</v>
      </c>
      <c r="AH72" s="30"/>
    </row>
    <row r="73" spans="1:34" s="275" customFormat="1" hidden="1" x14ac:dyDescent="0.25">
      <c r="A73" s="324" t="s">
        <v>73</v>
      </c>
      <c r="B73" s="328">
        <v>0</v>
      </c>
      <c r="C73" s="328">
        <v>625606038.75999999</v>
      </c>
      <c r="D73" s="328">
        <v>454030800</v>
      </c>
      <c r="E73" s="330">
        <f>F73+G73+H73</f>
        <v>171575238.75999999</v>
      </c>
      <c r="F73" s="328">
        <v>0</v>
      </c>
      <c r="G73" s="328">
        <v>170988547.47</v>
      </c>
      <c r="H73" s="328">
        <v>586691.29</v>
      </c>
      <c r="I73" s="328">
        <v>10821.8</v>
      </c>
      <c r="J73" s="328">
        <v>191387067.08000001</v>
      </c>
      <c r="K73" s="328">
        <v>122252909.09</v>
      </c>
      <c r="L73" s="330">
        <f>M73+N73+O73</f>
        <v>69144979.790000007</v>
      </c>
      <c r="M73" s="328">
        <v>0</v>
      </c>
      <c r="N73" s="328">
        <v>68792468.540000007</v>
      </c>
      <c r="O73" s="328">
        <v>352511.25</v>
      </c>
      <c r="P73" s="273">
        <f t="shared" si="26"/>
        <v>0</v>
      </c>
      <c r="Q73" s="273">
        <f t="shared" si="32"/>
        <v>454.0308</v>
      </c>
      <c r="R73" s="273"/>
      <c r="S73" s="273"/>
      <c r="T73" s="273">
        <f t="shared" si="29"/>
        <v>170.98854746999999</v>
      </c>
      <c r="U73" s="273">
        <f t="shared" si="29"/>
        <v>0.58669129000000009</v>
      </c>
      <c r="V73" s="273">
        <f t="shared" si="29"/>
        <v>1.0821799999999999E-2</v>
      </c>
      <c r="W73" s="273">
        <f t="shared" si="24"/>
        <v>122.25290909</v>
      </c>
      <c r="X73" s="273"/>
      <c r="Y73" s="273"/>
      <c r="Z73" s="273">
        <f t="shared" si="24"/>
        <v>68.792468540000002</v>
      </c>
      <c r="AA73" s="273">
        <f t="shared" si="24"/>
        <v>0.35251125</v>
      </c>
      <c r="AB73" s="273"/>
      <c r="AC73" s="273">
        <f t="shared" si="33"/>
        <v>26.926126837650664</v>
      </c>
      <c r="AD73" s="273"/>
      <c r="AE73" s="273"/>
      <c r="AF73" s="273">
        <f t="shared" si="34"/>
        <v>40.232208272352082</v>
      </c>
      <c r="AG73" s="274">
        <f t="shared" si="34"/>
        <v>60.084623039145498</v>
      </c>
      <c r="AH73" s="329"/>
    </row>
    <row r="74" spans="1:34" hidden="1" x14ac:dyDescent="0.25">
      <c r="A74" s="108" t="s">
        <v>79</v>
      </c>
      <c r="B74" s="31">
        <v>33365906.530000001</v>
      </c>
      <c r="C74" s="31">
        <v>0</v>
      </c>
      <c r="D74" s="31">
        <v>30025366.530000001</v>
      </c>
      <c r="E74" s="119">
        <f>F74+G74+H74-E75</f>
        <v>3340540</v>
      </c>
      <c r="F74" s="31">
        <v>2589540</v>
      </c>
      <c r="G74" s="31">
        <v>751000</v>
      </c>
      <c r="H74" s="31">
        <v>0</v>
      </c>
      <c r="I74" s="31">
        <v>22736085.77</v>
      </c>
      <c r="J74" s="31">
        <v>0</v>
      </c>
      <c r="K74" s="31">
        <v>21139203.77</v>
      </c>
      <c r="L74" s="120">
        <f>M74+N74+O74-L75</f>
        <v>1596882</v>
      </c>
      <c r="M74" s="31">
        <v>1596882</v>
      </c>
      <c r="N74" s="31">
        <v>0</v>
      </c>
      <c r="O74" s="31">
        <v>0</v>
      </c>
      <c r="P74" s="32">
        <f t="shared" si="26"/>
        <v>33.365906530000004</v>
      </c>
      <c r="Q74" s="32">
        <f t="shared" si="32"/>
        <v>30.025366529999999</v>
      </c>
      <c r="R74" s="32">
        <f>E74/1000000</f>
        <v>3.3405399999999998</v>
      </c>
      <c r="S74" s="32">
        <f>F74/1000000</f>
        <v>2.58954</v>
      </c>
      <c r="T74" s="32">
        <f t="shared" si="29"/>
        <v>0.751</v>
      </c>
      <c r="U74" s="32">
        <f t="shared" si="29"/>
        <v>0</v>
      </c>
      <c r="V74" s="32">
        <f t="shared" si="29"/>
        <v>22.736085769999999</v>
      </c>
      <c r="W74" s="32">
        <f t="shared" si="24"/>
        <v>21.139203769999998</v>
      </c>
      <c r="X74" s="32">
        <f t="shared" si="24"/>
        <v>1.5968819999999999</v>
      </c>
      <c r="Y74" s="32">
        <f t="shared" si="24"/>
        <v>1.5968819999999999</v>
      </c>
      <c r="Z74" s="32">
        <f t="shared" si="24"/>
        <v>0</v>
      </c>
      <c r="AA74" s="32">
        <f t="shared" si="24"/>
        <v>0</v>
      </c>
      <c r="AB74" s="32">
        <f>V74/P74%</f>
        <v>68.141669549896676</v>
      </c>
      <c r="AC74" s="32">
        <f t="shared" si="33"/>
        <v>70.404481986518491</v>
      </c>
      <c r="AD74" s="32">
        <f>X74/R74%</f>
        <v>47.803109676878584</v>
      </c>
      <c r="AE74" s="32">
        <f>Y74/S74%</f>
        <v>61.666628049769457</v>
      </c>
      <c r="AF74" s="32">
        <f t="shared" si="34"/>
        <v>0</v>
      </c>
      <c r="AG74" s="34" t="e">
        <f t="shared" si="34"/>
        <v>#DIV/0!</v>
      </c>
      <c r="AH74" s="30"/>
    </row>
    <row r="75" spans="1:34" s="275" customFormat="1" hidden="1" x14ac:dyDescent="0.25">
      <c r="A75" s="324" t="s">
        <v>73</v>
      </c>
      <c r="B75" s="328"/>
      <c r="C75" s="328"/>
      <c r="D75" s="328"/>
      <c r="E75" s="330">
        <f>F75+G75+H75</f>
        <v>0</v>
      </c>
      <c r="F75" s="328"/>
      <c r="G75" s="328"/>
      <c r="H75" s="328"/>
      <c r="I75" s="328"/>
      <c r="J75" s="328"/>
      <c r="K75" s="328"/>
      <c r="L75" s="330">
        <f>M75+N75+O75</f>
        <v>0</v>
      </c>
      <c r="M75" s="328"/>
      <c r="N75" s="328"/>
      <c r="O75" s="328"/>
      <c r="P75" s="273"/>
      <c r="Q75" s="273">
        <f t="shared" si="32"/>
        <v>0</v>
      </c>
      <c r="R75" s="273"/>
      <c r="S75" s="273"/>
      <c r="T75" s="63">
        <f t="shared" si="29"/>
        <v>0</v>
      </c>
      <c r="U75" s="273"/>
      <c r="V75" s="273"/>
      <c r="W75" s="273">
        <f>K75/1000000</f>
        <v>0</v>
      </c>
      <c r="X75" s="273"/>
      <c r="Y75" s="273"/>
      <c r="Z75" s="63">
        <f t="shared" si="24"/>
        <v>0</v>
      </c>
      <c r="AA75" s="273"/>
      <c r="AB75" s="273"/>
      <c r="AC75" s="63" t="e">
        <f t="shared" si="33"/>
        <v>#DIV/0!</v>
      </c>
      <c r="AD75" s="273"/>
      <c r="AE75" s="63"/>
      <c r="AF75" s="63" t="e">
        <f t="shared" si="34"/>
        <v>#DIV/0!</v>
      </c>
      <c r="AG75" s="274"/>
      <c r="AH75" s="329"/>
    </row>
    <row r="76" spans="1:34" ht="26.4" x14ac:dyDescent="0.25">
      <c r="A76" s="108" t="s">
        <v>80</v>
      </c>
      <c r="B76" s="31">
        <v>553301602.50999999</v>
      </c>
      <c r="C76" s="31">
        <v>15400057.460000001</v>
      </c>
      <c r="D76" s="31">
        <v>387496497.97000003</v>
      </c>
      <c r="E76" s="119">
        <f>F76+G76+H76-E77</f>
        <v>175262373.53999999</v>
      </c>
      <c r="F76" s="31">
        <v>106546916.88</v>
      </c>
      <c r="G76" s="31">
        <v>53258357.859999999</v>
      </c>
      <c r="H76" s="31">
        <v>21399887.259999998</v>
      </c>
      <c r="I76" s="31">
        <v>366748694.43000001</v>
      </c>
      <c r="J76" s="31">
        <v>14381653.34</v>
      </c>
      <c r="K76" s="31">
        <v>294470080.70999998</v>
      </c>
      <c r="L76" s="120">
        <f>M76+N76+O76-L77</f>
        <v>81436478.600000009</v>
      </c>
      <c r="M76" s="31">
        <v>48561715.109999999</v>
      </c>
      <c r="N76" s="31">
        <v>27157837.27</v>
      </c>
      <c r="O76" s="31">
        <v>10940714.68</v>
      </c>
      <c r="P76" s="32">
        <f t="shared" si="26"/>
        <v>553.30160250999995</v>
      </c>
      <c r="Q76" s="32">
        <f t="shared" si="32"/>
        <v>387.49649797000001</v>
      </c>
      <c r="R76" s="32">
        <f t="shared" si="32"/>
        <v>175.26237354</v>
      </c>
      <c r="S76" s="32">
        <f t="shared" si="32"/>
        <v>106.54691688</v>
      </c>
      <c r="T76" s="32">
        <f t="shared" si="29"/>
        <v>53.258357859999997</v>
      </c>
      <c r="U76" s="32">
        <f t="shared" si="29"/>
        <v>21.399887259999996</v>
      </c>
      <c r="V76" s="32">
        <f t="shared" si="29"/>
        <v>366.74869443</v>
      </c>
      <c r="W76" s="32">
        <f t="shared" si="24"/>
        <v>294.47008070999999</v>
      </c>
      <c r="X76" s="32">
        <f t="shared" si="24"/>
        <v>81.436478600000015</v>
      </c>
      <c r="Y76" s="32">
        <f t="shared" si="24"/>
        <v>48.561715110000002</v>
      </c>
      <c r="Z76" s="32">
        <f t="shared" si="24"/>
        <v>27.157837269999998</v>
      </c>
      <c r="AA76" s="32">
        <f t="shared" si="24"/>
        <v>10.940714679999999</v>
      </c>
      <c r="AB76" s="32">
        <f>V76/P76%</f>
        <v>66.283685564306978</v>
      </c>
      <c r="AC76" s="32">
        <f t="shared" si="33"/>
        <v>75.992965679085401</v>
      </c>
      <c r="AD76" s="32">
        <f>X76/R76%</f>
        <v>46.465466006834504</v>
      </c>
      <c r="AE76" s="32">
        <f>Y76/S76%</f>
        <v>45.577775999556451</v>
      </c>
      <c r="AF76" s="32">
        <f t="shared" si="34"/>
        <v>50.992629816694091</v>
      </c>
      <c r="AG76" s="34">
        <f>AA76/U76%</f>
        <v>51.12510429178775</v>
      </c>
      <c r="AH76" s="30"/>
    </row>
    <row r="77" spans="1:34" s="275" customFormat="1" hidden="1" x14ac:dyDescent="0.25">
      <c r="A77" s="324" t="s">
        <v>73</v>
      </c>
      <c r="B77" s="328">
        <v>12724369.720000001</v>
      </c>
      <c r="C77" s="328">
        <v>15400057.460000001</v>
      </c>
      <c r="D77" s="328">
        <v>22181638.719999999</v>
      </c>
      <c r="E77" s="330">
        <f>F77+G77+H77</f>
        <v>5942788.46</v>
      </c>
      <c r="F77" s="328">
        <v>0</v>
      </c>
      <c r="G77" s="328">
        <v>5857788.46</v>
      </c>
      <c r="H77" s="328">
        <v>85000</v>
      </c>
      <c r="I77" s="328">
        <v>0</v>
      </c>
      <c r="J77" s="328">
        <v>14381653.34</v>
      </c>
      <c r="K77" s="328">
        <v>9157864.8800000008</v>
      </c>
      <c r="L77" s="330">
        <f>M77+N77+O77</f>
        <v>5223788.46</v>
      </c>
      <c r="M77" s="328">
        <v>0</v>
      </c>
      <c r="N77" s="328">
        <v>5223788.46</v>
      </c>
      <c r="O77" s="328">
        <v>0</v>
      </c>
      <c r="P77" s="273">
        <f t="shared" si="26"/>
        <v>12.72436972</v>
      </c>
      <c r="Q77" s="273">
        <f t="shared" si="32"/>
        <v>22.181638719999999</v>
      </c>
      <c r="R77" s="273">
        <f t="shared" si="32"/>
        <v>5.9427884600000001</v>
      </c>
      <c r="S77" s="273">
        <f t="shared" si="32"/>
        <v>0</v>
      </c>
      <c r="T77" s="273">
        <f t="shared" si="29"/>
        <v>5.8577884600000001</v>
      </c>
      <c r="U77" s="273">
        <f t="shared" si="29"/>
        <v>8.5000000000000006E-2</v>
      </c>
      <c r="V77" s="273">
        <f t="shared" si="29"/>
        <v>0</v>
      </c>
      <c r="W77" s="273">
        <f t="shared" si="24"/>
        <v>9.15786488</v>
      </c>
      <c r="X77" s="273"/>
      <c r="Y77" s="273"/>
      <c r="Z77" s="273">
        <f t="shared" si="24"/>
        <v>5.2237884599999997</v>
      </c>
      <c r="AA77" s="273">
        <f t="shared" si="24"/>
        <v>0</v>
      </c>
      <c r="AB77" s="273">
        <f>V77/P77%</f>
        <v>0</v>
      </c>
      <c r="AC77" s="273">
        <f t="shared" si="33"/>
        <v>41.285790448578723</v>
      </c>
      <c r="AD77" s="273"/>
      <c r="AE77" s="273"/>
      <c r="AF77" s="273">
        <f t="shared" si="34"/>
        <v>89.176802741695454</v>
      </c>
      <c r="AG77" s="274">
        <f t="shared" si="34"/>
        <v>0</v>
      </c>
      <c r="AH77" s="329"/>
    </row>
    <row r="78" spans="1:34" s="42" customFormat="1" ht="13.5" customHeight="1" x14ac:dyDescent="0.25">
      <c r="A78" s="35" t="s">
        <v>81</v>
      </c>
      <c r="B78" s="36">
        <v>9181043166.6800003</v>
      </c>
      <c r="C78" s="36">
        <v>2041526874.74</v>
      </c>
      <c r="D78" s="36">
        <v>6974992182.6499996</v>
      </c>
      <c r="E78" s="119">
        <f>F78+G78+H78-E79</f>
        <v>3869241835.5900006</v>
      </c>
      <c r="F78" s="36">
        <v>2769004216.8200002</v>
      </c>
      <c r="G78" s="36">
        <v>638267794.89999998</v>
      </c>
      <c r="H78" s="36">
        <v>840305847.04999995</v>
      </c>
      <c r="I78" s="36">
        <v>6682428269.8800001</v>
      </c>
      <c r="J78" s="36">
        <v>1123804090.3599999</v>
      </c>
      <c r="K78" s="36">
        <v>5365271719.1499996</v>
      </c>
      <c r="L78" s="119">
        <f>M78+N78+O78-L79</f>
        <v>2272400359.73</v>
      </c>
      <c r="M78" s="36">
        <v>1658378153.26</v>
      </c>
      <c r="N78" s="36">
        <v>339221685.13999999</v>
      </c>
      <c r="O78" s="36">
        <v>443360802.69</v>
      </c>
      <c r="P78" s="38">
        <f t="shared" si="26"/>
        <v>9181.0431666799996</v>
      </c>
      <c r="Q78" s="38">
        <f t="shared" si="32"/>
        <v>6974.9921826499994</v>
      </c>
      <c r="R78" s="38">
        <f t="shared" si="32"/>
        <v>3869.2418355900008</v>
      </c>
      <c r="S78" s="38">
        <f t="shared" si="32"/>
        <v>2769.0042168200002</v>
      </c>
      <c r="T78" s="38">
        <f t="shared" si="29"/>
        <v>638.26779490000001</v>
      </c>
      <c r="U78" s="38">
        <f t="shared" si="29"/>
        <v>840.3058470499999</v>
      </c>
      <c r="V78" s="38">
        <f t="shared" si="29"/>
        <v>6682.4282698799998</v>
      </c>
      <c r="W78" s="38">
        <f t="shared" si="24"/>
        <v>5365.2717191499996</v>
      </c>
      <c r="X78" s="38">
        <f t="shared" si="24"/>
        <v>2272.4003597300002</v>
      </c>
      <c r="Y78" s="38">
        <f t="shared" si="24"/>
        <v>1658.3781532600001</v>
      </c>
      <c r="Z78" s="38">
        <f t="shared" si="24"/>
        <v>339.22168513999998</v>
      </c>
      <c r="AA78" s="38">
        <f t="shared" si="24"/>
        <v>443.36080269000001</v>
      </c>
      <c r="AB78" s="38">
        <f>V78/P78%</f>
        <v>72.785065363073159</v>
      </c>
      <c r="AC78" s="38">
        <f t="shared" si="33"/>
        <v>76.921544550198746</v>
      </c>
      <c r="AD78" s="38">
        <f>X78/R78%</f>
        <v>58.729861205056814</v>
      </c>
      <c r="AE78" s="38">
        <f>Y78/S78%</f>
        <v>59.89077745661676</v>
      </c>
      <c r="AF78" s="38">
        <f t="shared" si="34"/>
        <v>53.147235039979918</v>
      </c>
      <c r="AG78" s="39">
        <f t="shared" si="34"/>
        <v>52.761837162799026</v>
      </c>
      <c r="AH78" s="40"/>
    </row>
    <row r="79" spans="1:34" s="76" customFormat="1" hidden="1" x14ac:dyDescent="0.25">
      <c r="A79" s="335" t="s">
        <v>67</v>
      </c>
      <c r="B79" s="336">
        <v>364135672.48000002</v>
      </c>
      <c r="C79" s="336">
        <v>2041526874.7399998</v>
      </c>
      <c r="D79" s="336">
        <v>2027326524.04</v>
      </c>
      <c r="E79" s="337">
        <f>F79+G79+H79</f>
        <v>378336023.18000001</v>
      </c>
      <c r="F79" s="336">
        <v>0</v>
      </c>
      <c r="G79" s="336">
        <v>377816023.18000001</v>
      </c>
      <c r="H79" s="336">
        <v>520000</v>
      </c>
      <c r="I79" s="336">
        <v>0</v>
      </c>
      <c r="J79" s="336">
        <v>1123804090.3599999</v>
      </c>
      <c r="K79" s="336">
        <v>955243809</v>
      </c>
      <c r="L79" s="337">
        <f>M79+N79+O79</f>
        <v>168560281.36000001</v>
      </c>
      <c r="M79" s="336">
        <v>0</v>
      </c>
      <c r="N79" s="336">
        <v>168370281.36000001</v>
      </c>
      <c r="O79" s="336">
        <v>190000</v>
      </c>
      <c r="P79" s="63">
        <f t="shared" si="26"/>
        <v>364.13567248000004</v>
      </c>
      <c r="Q79" s="63">
        <f t="shared" si="32"/>
        <v>2027.3265240399999</v>
      </c>
      <c r="R79" s="63"/>
      <c r="S79" s="63"/>
      <c r="T79" s="63">
        <f t="shared" si="29"/>
        <v>377.81602318</v>
      </c>
      <c r="U79" s="63">
        <f t="shared" si="29"/>
        <v>0.52</v>
      </c>
      <c r="V79" s="63">
        <f t="shared" si="29"/>
        <v>0</v>
      </c>
      <c r="W79" s="63">
        <f t="shared" si="24"/>
        <v>955.24380900000006</v>
      </c>
      <c r="X79" s="63"/>
      <c r="Y79" s="63"/>
      <c r="Z79" s="63">
        <f t="shared" si="24"/>
        <v>168.37028136000001</v>
      </c>
      <c r="AA79" s="63">
        <f t="shared" si="24"/>
        <v>0.19</v>
      </c>
      <c r="AB79" s="63">
        <f>V79/P79%</f>
        <v>0</v>
      </c>
      <c r="AC79" s="63">
        <f t="shared" si="33"/>
        <v>47.118399412859098</v>
      </c>
      <c r="AD79" s="338"/>
      <c r="AE79" s="63"/>
      <c r="AF79" s="63">
        <f t="shared" si="34"/>
        <v>44.564092317435843</v>
      </c>
      <c r="AG79" s="277">
        <f t="shared" si="34"/>
        <v>36.53846153846154</v>
      </c>
      <c r="AH79" s="100"/>
    </row>
    <row r="80" spans="1:34" x14ac:dyDescent="0.25">
      <c r="A80" s="115" t="s">
        <v>82</v>
      </c>
      <c r="B80" s="114">
        <v>4203543332.8499999</v>
      </c>
      <c r="C80" s="114">
        <v>1363749147.54</v>
      </c>
      <c r="D80" s="114">
        <v>3225962939.9400001</v>
      </c>
      <c r="E80" s="119">
        <f>F80+G80+H80-E81</f>
        <v>2213320251.7500005</v>
      </c>
      <c r="F80" s="114">
        <v>1737489606.3900001</v>
      </c>
      <c r="G80" s="114">
        <v>299052681.42000002</v>
      </c>
      <c r="H80" s="114">
        <v>304787252.63999999</v>
      </c>
      <c r="I80" s="114">
        <v>2866701853.4499998</v>
      </c>
      <c r="J80" s="114">
        <v>1007528698.0599999</v>
      </c>
      <c r="K80" s="114">
        <v>2207737598.73</v>
      </c>
      <c r="L80" s="119">
        <f>M80+N80+O80-L81</f>
        <v>1546159276.3799999</v>
      </c>
      <c r="M80" s="114">
        <v>1165847494.5899999</v>
      </c>
      <c r="N80" s="114">
        <v>248142527.75999999</v>
      </c>
      <c r="O80" s="114">
        <v>252502930.43000001</v>
      </c>
      <c r="P80" s="32">
        <f>B80/1000000</f>
        <v>4203.5433328500003</v>
      </c>
      <c r="Q80" s="32">
        <f t="shared" si="32"/>
        <v>3225.9629399400001</v>
      </c>
      <c r="R80" s="32">
        <f>E80/1000000</f>
        <v>2213.3202517500004</v>
      </c>
      <c r="S80" s="32">
        <f>F80/1000000</f>
        <v>1737.4896063900001</v>
      </c>
      <c r="T80" s="32">
        <f>G80/1000000</f>
        <v>299.05268142</v>
      </c>
      <c r="U80" s="32">
        <f>H80/1000000</f>
        <v>304.78725263999996</v>
      </c>
      <c r="V80" s="32">
        <f>I80/1000000</f>
        <v>2866.7018534499998</v>
      </c>
      <c r="W80" s="32">
        <f>K80/1000000</f>
        <v>2207.7375987300002</v>
      </c>
      <c r="X80" s="32">
        <f>L80/1000000</f>
        <v>1546.1592763799999</v>
      </c>
      <c r="Y80" s="32">
        <f>M80/1000000</f>
        <v>1165.84749459</v>
      </c>
      <c r="Z80" s="32">
        <f>N80/1000000</f>
        <v>248.14252775999998</v>
      </c>
      <c r="AA80" s="32">
        <f>O80/1000000</f>
        <v>252.50293043000002</v>
      </c>
      <c r="AB80" s="32">
        <f>V80/P80%</f>
        <v>68.197271360263997</v>
      </c>
      <c r="AC80" s="32">
        <f>W80/Q80%</f>
        <v>68.436545609264257</v>
      </c>
      <c r="AD80" s="32">
        <f>X80/R80%</f>
        <v>69.85700669198242</v>
      </c>
      <c r="AE80" s="32">
        <f>Y80/S80%</f>
        <v>67.099537764274359</v>
      </c>
      <c r="AF80" s="32">
        <f t="shared" si="34"/>
        <v>82.97619221527728</v>
      </c>
      <c r="AG80" s="34">
        <f t="shared" si="34"/>
        <v>82.845633550247044</v>
      </c>
      <c r="AH80" s="30"/>
    </row>
    <row r="81" spans="1:34" s="275" customFormat="1" hidden="1" x14ac:dyDescent="0.25">
      <c r="A81" s="324" t="s">
        <v>73</v>
      </c>
      <c r="B81" s="339">
        <v>364135672.48000002</v>
      </c>
      <c r="C81" s="339">
        <v>1363749147.54</v>
      </c>
      <c r="D81" s="339">
        <v>1599875531.3199999</v>
      </c>
      <c r="E81" s="330">
        <f>F81+G81+H81</f>
        <v>128009288.7</v>
      </c>
      <c r="F81" s="339">
        <v>0</v>
      </c>
      <c r="G81" s="339">
        <v>128009288.7</v>
      </c>
      <c r="H81" s="339">
        <v>0</v>
      </c>
      <c r="I81" s="339">
        <v>0</v>
      </c>
      <c r="J81" s="339">
        <v>1007528698.0599999</v>
      </c>
      <c r="K81" s="339">
        <v>887195021.65999997</v>
      </c>
      <c r="L81" s="330">
        <f>M81+N81+O81</f>
        <v>120333676.40000001</v>
      </c>
      <c r="M81" s="339">
        <v>0</v>
      </c>
      <c r="N81" s="339">
        <v>120333676.40000001</v>
      </c>
      <c r="O81" s="339">
        <v>0</v>
      </c>
      <c r="P81" s="273"/>
      <c r="Q81" s="273">
        <f t="shared" si="32"/>
        <v>1599.8755313199999</v>
      </c>
      <c r="R81" s="273"/>
      <c r="S81" s="273"/>
      <c r="T81" s="273">
        <f t="shared" ref="T81:U87" si="35">G81/1000000</f>
        <v>128.00928870000001</v>
      </c>
      <c r="U81" s="273">
        <f t="shared" si="35"/>
        <v>0</v>
      </c>
      <c r="V81" s="273"/>
      <c r="W81" s="273">
        <f t="shared" ref="W81:W87" si="36">K81/1000000</f>
        <v>887.19502165999995</v>
      </c>
      <c r="X81" s="273"/>
      <c r="Y81" s="273"/>
      <c r="Z81" s="273">
        <f t="shared" ref="Z81:AA87" si="37">N81/1000000</f>
        <v>120.3336764</v>
      </c>
      <c r="AA81" s="273">
        <f t="shared" si="37"/>
        <v>0</v>
      </c>
      <c r="AB81" s="273"/>
      <c r="AC81" s="273">
        <f t="shared" ref="AC81:AC86" si="38">W81/Q81%</f>
        <v>55.454002782829434</v>
      </c>
      <c r="AD81" s="273"/>
      <c r="AE81" s="273"/>
      <c r="AF81" s="273">
        <f t="shared" si="34"/>
        <v>94.003863018106117</v>
      </c>
      <c r="AG81" s="274" t="e">
        <f t="shared" si="34"/>
        <v>#DIV/0!</v>
      </c>
      <c r="AH81" s="329"/>
    </row>
    <row r="82" spans="1:34" x14ac:dyDescent="0.25">
      <c r="A82" s="108" t="s">
        <v>83</v>
      </c>
      <c r="B82" s="114">
        <v>3652743210.9899998</v>
      </c>
      <c r="C82" s="114">
        <v>294562905.62</v>
      </c>
      <c r="D82" s="114">
        <v>3409736217.8099999</v>
      </c>
      <c r="E82" s="119">
        <f>F82+G82+H82-E83</f>
        <v>383617860.99999994</v>
      </c>
      <c r="F82" s="114">
        <v>86490368.340000004</v>
      </c>
      <c r="G82" s="114">
        <v>222030509.47999999</v>
      </c>
      <c r="H82" s="114">
        <v>229049020.97999999</v>
      </c>
      <c r="I82" s="114">
        <v>3160565877.3400002</v>
      </c>
      <c r="J82" s="114">
        <v>34583484.229999997</v>
      </c>
      <c r="K82" s="114">
        <v>3068046990.73</v>
      </c>
      <c r="L82" s="119">
        <f>M82+N82+O82-L83</f>
        <v>107293870.26000001</v>
      </c>
      <c r="M82" s="114">
        <v>34505738.100000001</v>
      </c>
      <c r="N82" s="114">
        <v>48743175.030000001</v>
      </c>
      <c r="O82" s="114">
        <v>43853457.710000001</v>
      </c>
      <c r="P82" s="32">
        <f>B82/1000000</f>
        <v>3652.7432109899996</v>
      </c>
      <c r="Q82" s="32">
        <f t="shared" si="32"/>
        <v>3409.7362178099997</v>
      </c>
      <c r="R82" s="32">
        <f>E82/1000000</f>
        <v>383.61786099999995</v>
      </c>
      <c r="S82" s="32">
        <f>F82/1000000</f>
        <v>86.490368340000003</v>
      </c>
      <c r="T82" s="32">
        <f t="shared" si="35"/>
        <v>222.03050947999998</v>
      </c>
      <c r="U82" s="32">
        <f t="shared" si="35"/>
        <v>229.04902097999999</v>
      </c>
      <c r="V82" s="32">
        <f>I82/1000000</f>
        <v>3160.56587734</v>
      </c>
      <c r="W82" s="32">
        <f t="shared" si="36"/>
        <v>3068.0469907299998</v>
      </c>
      <c r="X82" s="32">
        <f>L82/1000000</f>
        <v>107.29387026000001</v>
      </c>
      <c r="Y82" s="32">
        <f>M82/1000000</f>
        <v>34.505738100000002</v>
      </c>
      <c r="Z82" s="32">
        <f t="shared" si="37"/>
        <v>48.743175030000003</v>
      </c>
      <c r="AA82" s="32">
        <f t="shared" si="37"/>
        <v>43.853457710000001</v>
      </c>
      <c r="AB82" s="32">
        <f>V82/P82%</f>
        <v>86.525816209330372</v>
      </c>
      <c r="AC82" s="32">
        <f t="shared" si="38"/>
        <v>89.979012883892239</v>
      </c>
      <c r="AD82" s="32">
        <f>X82/R82%</f>
        <v>27.968945444904616</v>
      </c>
      <c r="AE82" s="32">
        <f>Y82/S82%</f>
        <v>39.895469012636653</v>
      </c>
      <c r="AF82" s="32">
        <f t="shared" si="34"/>
        <v>21.953368095293538</v>
      </c>
      <c r="AG82" s="34">
        <f t="shared" si="34"/>
        <v>19.145883061350951</v>
      </c>
      <c r="AH82" s="30"/>
    </row>
    <row r="83" spans="1:34" s="275" customFormat="1" hidden="1" x14ac:dyDescent="0.25">
      <c r="A83" s="324" t="s">
        <v>73</v>
      </c>
      <c r="B83" s="339">
        <v>0</v>
      </c>
      <c r="C83" s="339">
        <v>294562905.62</v>
      </c>
      <c r="D83" s="339">
        <v>140610867.81999999</v>
      </c>
      <c r="E83" s="330">
        <f>F83+G83+H83</f>
        <v>153952037.80000001</v>
      </c>
      <c r="F83" s="339">
        <v>0</v>
      </c>
      <c r="G83" s="339">
        <v>153622037.80000001</v>
      </c>
      <c r="H83" s="339">
        <v>330000</v>
      </c>
      <c r="I83" s="339">
        <v>0</v>
      </c>
      <c r="J83" s="339">
        <v>34583484.229999997</v>
      </c>
      <c r="K83" s="339">
        <v>14774983.65</v>
      </c>
      <c r="L83" s="330">
        <f>M83+N83+O83</f>
        <v>19808500.579999998</v>
      </c>
      <c r="M83" s="339">
        <v>0</v>
      </c>
      <c r="N83" s="339">
        <v>19808500.579999998</v>
      </c>
      <c r="O83" s="339">
        <v>0</v>
      </c>
      <c r="P83" s="273"/>
      <c r="Q83" s="273">
        <f t="shared" si="32"/>
        <v>140.61086781999998</v>
      </c>
      <c r="R83" s="273"/>
      <c r="S83" s="273"/>
      <c r="T83" s="273">
        <f t="shared" si="35"/>
        <v>153.62203780000002</v>
      </c>
      <c r="U83" s="273">
        <f t="shared" si="35"/>
        <v>0.33</v>
      </c>
      <c r="V83" s="273"/>
      <c r="W83" s="273">
        <f t="shared" si="36"/>
        <v>14.774983650000001</v>
      </c>
      <c r="X83" s="273"/>
      <c r="Y83" s="273"/>
      <c r="Z83" s="273">
        <f t="shared" si="37"/>
        <v>19.808500579999997</v>
      </c>
      <c r="AA83" s="273">
        <f t="shared" si="37"/>
        <v>0</v>
      </c>
      <c r="AB83" s="273"/>
      <c r="AC83" s="273">
        <f t="shared" si="38"/>
        <v>10.507711017695931</v>
      </c>
      <c r="AD83" s="273"/>
      <c r="AE83" s="273"/>
      <c r="AF83" s="273">
        <f t="shared" si="34"/>
        <v>12.894309217397971</v>
      </c>
      <c r="AG83" s="274">
        <f t="shared" si="34"/>
        <v>0</v>
      </c>
      <c r="AH83" s="329"/>
    </row>
    <row r="84" spans="1:34" x14ac:dyDescent="0.25">
      <c r="A84" s="108" t="s">
        <v>84</v>
      </c>
      <c r="B84" s="114">
        <v>1104140240.3399999</v>
      </c>
      <c r="C84" s="114">
        <v>382064221.57999998</v>
      </c>
      <c r="D84" s="114">
        <v>286840124.89999998</v>
      </c>
      <c r="E84" s="119">
        <f>F84+G84+H84-E85</f>
        <v>1104140240.3399999</v>
      </c>
      <c r="F84" s="114">
        <v>806615261.88999999</v>
      </c>
      <c r="G84" s="114">
        <v>104441244</v>
      </c>
      <c r="H84" s="114">
        <v>288307831.13</v>
      </c>
      <c r="I84" s="114">
        <v>498828049.80000001</v>
      </c>
      <c r="J84" s="114">
        <v>80924841.069999993</v>
      </c>
      <c r="K84" s="114">
        <v>53273803.689999998</v>
      </c>
      <c r="L84" s="119">
        <f>M84+N84+O84-L85</f>
        <v>498828049.79999995</v>
      </c>
      <c r="M84" s="114">
        <v>358900472.25999999</v>
      </c>
      <c r="N84" s="114">
        <v>32990511.399999999</v>
      </c>
      <c r="O84" s="114">
        <v>134588103.51999998</v>
      </c>
      <c r="P84" s="32">
        <f>B84/1000000</f>
        <v>1104.14024034</v>
      </c>
      <c r="Q84" s="32">
        <f t="shared" si="32"/>
        <v>286.84012489999998</v>
      </c>
      <c r="R84" s="32">
        <f>E84/1000000</f>
        <v>1104.14024034</v>
      </c>
      <c r="S84" s="32">
        <f>F84/1000000</f>
        <v>806.61526188999994</v>
      </c>
      <c r="T84" s="32">
        <f t="shared" si="35"/>
        <v>104.441244</v>
      </c>
      <c r="U84" s="32">
        <f t="shared" si="35"/>
        <v>288.30783113000001</v>
      </c>
      <c r="V84" s="32">
        <f>I84/1000000</f>
        <v>498.82804980000003</v>
      </c>
      <c r="W84" s="32">
        <f t="shared" si="36"/>
        <v>53.273803690000001</v>
      </c>
      <c r="X84" s="32">
        <f>L84/1000000</f>
        <v>498.82804979999997</v>
      </c>
      <c r="Y84" s="32">
        <f>M84/1000000</f>
        <v>358.90047226000002</v>
      </c>
      <c r="Z84" s="32">
        <f t="shared" si="37"/>
        <v>32.990511399999995</v>
      </c>
      <c r="AA84" s="32">
        <f t="shared" si="37"/>
        <v>134.58810351999998</v>
      </c>
      <c r="AB84" s="32">
        <f>V84/P84%</f>
        <v>45.177961238546565</v>
      </c>
      <c r="AC84" s="32">
        <f t="shared" si="38"/>
        <v>18.572646943509962</v>
      </c>
      <c r="AD84" s="32">
        <f>X84/R84%</f>
        <v>45.177961238546558</v>
      </c>
      <c r="AE84" s="32">
        <f>Y84/S84%</f>
        <v>44.494629498957359</v>
      </c>
      <c r="AF84" s="32">
        <f t="shared" si="34"/>
        <v>31.587627776628167</v>
      </c>
      <c r="AG84" s="34">
        <f t="shared" si="34"/>
        <v>46.682083865877807</v>
      </c>
      <c r="AH84" s="30"/>
    </row>
    <row r="85" spans="1:34" s="275" customFormat="1" hidden="1" x14ac:dyDescent="0.25">
      <c r="A85" s="324" t="s">
        <v>73</v>
      </c>
      <c r="B85" s="339">
        <v>0</v>
      </c>
      <c r="C85" s="339">
        <v>382064221.57999998</v>
      </c>
      <c r="D85" s="339">
        <v>286840124.89999998</v>
      </c>
      <c r="E85" s="337">
        <f>F85+G85+H85</f>
        <v>95224096.680000007</v>
      </c>
      <c r="F85" s="339">
        <v>0</v>
      </c>
      <c r="G85" s="339">
        <v>95034096.680000007</v>
      </c>
      <c r="H85" s="339">
        <v>190000</v>
      </c>
      <c r="I85" s="339">
        <v>0</v>
      </c>
      <c r="J85" s="339">
        <v>80924841.069999993</v>
      </c>
      <c r="K85" s="339">
        <v>53273803.689999998</v>
      </c>
      <c r="L85" s="337">
        <f>M85+N85+O85</f>
        <v>27651037.379999999</v>
      </c>
      <c r="M85" s="339">
        <v>0</v>
      </c>
      <c r="N85" s="339">
        <v>27461037.379999999</v>
      </c>
      <c r="O85" s="339">
        <v>190000</v>
      </c>
      <c r="P85" s="273"/>
      <c r="Q85" s="273">
        <f t="shared" si="32"/>
        <v>286.84012489999998</v>
      </c>
      <c r="R85" s="273"/>
      <c r="S85" s="273"/>
      <c r="T85" s="273">
        <f t="shared" si="35"/>
        <v>95.034096680000005</v>
      </c>
      <c r="U85" s="273">
        <f t="shared" si="35"/>
        <v>0.19</v>
      </c>
      <c r="V85" s="273"/>
      <c r="W85" s="273">
        <f t="shared" si="36"/>
        <v>53.273803690000001</v>
      </c>
      <c r="X85" s="273"/>
      <c r="Y85" s="273"/>
      <c r="Z85" s="273">
        <f t="shared" si="37"/>
        <v>27.46103738</v>
      </c>
      <c r="AA85" s="273">
        <f t="shared" si="37"/>
        <v>0.19</v>
      </c>
      <c r="AB85" s="273"/>
      <c r="AC85" s="273">
        <f t="shared" si="38"/>
        <v>18.572646943509962</v>
      </c>
      <c r="AD85" s="273"/>
      <c r="AE85" s="273"/>
      <c r="AF85" s="273">
        <f t="shared" si="34"/>
        <v>28.895984009262644</v>
      </c>
      <c r="AG85" s="274">
        <f t="shared" si="34"/>
        <v>100</v>
      </c>
      <c r="AH85" s="329"/>
    </row>
    <row r="86" spans="1:34" ht="26.4" x14ac:dyDescent="0.25">
      <c r="A86" s="108" t="s">
        <v>85</v>
      </c>
      <c r="B86" s="114">
        <v>220616382.5</v>
      </c>
      <c r="C86" s="114">
        <v>1150600</v>
      </c>
      <c r="D86" s="114">
        <v>52452900</v>
      </c>
      <c r="E86" s="119">
        <f>F86+G86+H86-E87</f>
        <v>168163482.5</v>
      </c>
      <c r="F86" s="114">
        <v>138408980.19999999</v>
      </c>
      <c r="G86" s="114">
        <v>12743360</v>
      </c>
      <c r="H86" s="114">
        <v>18161742.300000001</v>
      </c>
      <c r="I86" s="114">
        <v>156332489.28999999</v>
      </c>
      <c r="J86" s="114">
        <v>767067</v>
      </c>
      <c r="K86" s="114">
        <v>36213326</v>
      </c>
      <c r="L86" s="119">
        <f>M86+N86+O86-L87</f>
        <v>120119163.29000001</v>
      </c>
      <c r="M86" s="114">
        <v>99124448.310000002</v>
      </c>
      <c r="N86" s="114">
        <v>9345470.9499999993</v>
      </c>
      <c r="O86" s="114">
        <v>12416311.030000001</v>
      </c>
      <c r="P86" s="32">
        <f>B86/1000000</f>
        <v>220.61638249999999</v>
      </c>
      <c r="Q86" s="32">
        <f t="shared" si="32"/>
        <v>52.4529</v>
      </c>
      <c r="R86" s="32">
        <f>E86/1000000</f>
        <v>168.16348249999999</v>
      </c>
      <c r="S86" s="32">
        <f>F86/1000000</f>
        <v>138.4089802</v>
      </c>
      <c r="T86" s="32">
        <f t="shared" si="35"/>
        <v>12.743359999999999</v>
      </c>
      <c r="U86" s="32">
        <f t="shared" si="35"/>
        <v>18.1617423</v>
      </c>
      <c r="V86" s="32">
        <f>I86/1000000</f>
        <v>156.33248928999998</v>
      </c>
      <c r="W86" s="32">
        <f t="shared" si="36"/>
        <v>36.213326000000002</v>
      </c>
      <c r="X86" s="32">
        <f>L86/1000000</f>
        <v>120.11916329</v>
      </c>
      <c r="Y86" s="32">
        <f>M86/1000000</f>
        <v>99.124448310000005</v>
      </c>
      <c r="Z86" s="32">
        <f t="shared" si="37"/>
        <v>9.3454709499999993</v>
      </c>
      <c r="AA86" s="32">
        <f t="shared" si="37"/>
        <v>12.416311030000001</v>
      </c>
      <c r="AB86" s="32">
        <f>V86/P86%</f>
        <v>70.861686479697397</v>
      </c>
      <c r="AC86" s="32">
        <f t="shared" si="38"/>
        <v>69.039702285288328</v>
      </c>
      <c r="AD86" s="32">
        <f>X86/R86%</f>
        <v>71.429992709624102</v>
      </c>
      <c r="AE86" s="32">
        <f>Y86/S86%</f>
        <v>71.617064273406157</v>
      </c>
      <c r="AF86" s="32">
        <f t="shared" si="34"/>
        <v>73.336003612861916</v>
      </c>
      <c r="AG86" s="34">
        <f t="shared" si="34"/>
        <v>68.365197704627718</v>
      </c>
      <c r="AH86" s="30"/>
    </row>
    <row r="87" spans="1:34" s="275" customFormat="1" hidden="1" x14ac:dyDescent="0.25">
      <c r="A87" s="324" t="s">
        <v>73</v>
      </c>
      <c r="B87" s="339">
        <v>0</v>
      </c>
      <c r="C87" s="339">
        <v>1150600</v>
      </c>
      <c r="D87" s="339">
        <v>0</v>
      </c>
      <c r="E87" s="337">
        <f>F87+G87+H87</f>
        <v>1150600</v>
      </c>
      <c r="F87" s="339">
        <v>0</v>
      </c>
      <c r="G87" s="339">
        <v>1150600</v>
      </c>
      <c r="H87" s="339">
        <v>0</v>
      </c>
      <c r="I87" s="339">
        <v>0</v>
      </c>
      <c r="J87" s="339">
        <v>767067</v>
      </c>
      <c r="K87" s="339">
        <v>0</v>
      </c>
      <c r="L87" s="337">
        <f>M87+N87+O87</f>
        <v>767067</v>
      </c>
      <c r="M87" s="339">
        <v>0</v>
      </c>
      <c r="N87" s="339">
        <v>767067</v>
      </c>
      <c r="O87" s="339">
        <v>0</v>
      </c>
      <c r="P87" s="273"/>
      <c r="Q87" s="273">
        <f t="shared" si="32"/>
        <v>0</v>
      </c>
      <c r="R87" s="273"/>
      <c r="S87" s="273"/>
      <c r="T87" s="273">
        <f t="shared" si="35"/>
        <v>1.1506000000000001</v>
      </c>
      <c r="U87" s="273">
        <f t="shared" si="35"/>
        <v>0</v>
      </c>
      <c r="V87" s="273"/>
      <c r="W87" s="273">
        <f t="shared" si="36"/>
        <v>0</v>
      </c>
      <c r="X87" s="273"/>
      <c r="Y87" s="273"/>
      <c r="Z87" s="273">
        <f t="shared" si="37"/>
        <v>0.76706700000000005</v>
      </c>
      <c r="AA87" s="273">
        <f t="shared" si="37"/>
        <v>0</v>
      </c>
      <c r="AB87" s="273"/>
      <c r="AC87" s="273"/>
      <c r="AD87" s="273"/>
      <c r="AE87" s="273"/>
      <c r="AF87" s="63"/>
      <c r="AG87" s="277" t="e">
        <f t="shared" si="34"/>
        <v>#DIV/0!</v>
      </c>
      <c r="AH87" s="100"/>
    </row>
    <row r="88" spans="1:34" s="42" customFormat="1" x14ac:dyDescent="0.25">
      <c r="A88" s="107" t="s">
        <v>86</v>
      </c>
      <c r="B88" s="36">
        <v>75142045.700000003</v>
      </c>
      <c r="C88" s="36">
        <v>0</v>
      </c>
      <c r="D88" s="36">
        <v>68123340</v>
      </c>
      <c r="E88" s="119">
        <f>F88+G88+H88-E89</f>
        <v>7018705.7000000002</v>
      </c>
      <c r="F88" s="36">
        <v>6558400</v>
      </c>
      <c r="G88" s="36">
        <v>420305.7</v>
      </c>
      <c r="H88" s="36">
        <v>40000</v>
      </c>
      <c r="I88" s="36">
        <v>38210996.299999997</v>
      </c>
      <c r="J88" s="36">
        <v>0</v>
      </c>
      <c r="K88" s="36">
        <v>37290643.770000003</v>
      </c>
      <c r="L88" s="119">
        <f>M88+N88+O88-L89</f>
        <v>920352.53</v>
      </c>
      <c r="M88" s="36">
        <v>724795.28</v>
      </c>
      <c r="N88" s="36">
        <v>155557.25</v>
      </c>
      <c r="O88" s="36">
        <v>40000</v>
      </c>
      <c r="P88" s="38">
        <f t="shared" si="26"/>
        <v>75.142045699999997</v>
      </c>
      <c r="Q88" s="38">
        <f t="shared" si="32"/>
        <v>68.123339999999999</v>
      </c>
      <c r="R88" s="38">
        <f>E88/1000000</f>
        <v>7.0187056999999999</v>
      </c>
      <c r="S88" s="38">
        <f>F88/1000000</f>
        <v>6.5583999999999998</v>
      </c>
      <c r="T88" s="38">
        <f t="shared" si="29"/>
        <v>0.4203057</v>
      </c>
      <c r="U88" s="38">
        <f t="shared" si="29"/>
        <v>0.04</v>
      </c>
      <c r="V88" s="38">
        <f t="shared" si="29"/>
        <v>38.210996299999998</v>
      </c>
      <c r="W88" s="38">
        <f t="shared" si="24"/>
        <v>37.290643770000003</v>
      </c>
      <c r="X88" s="38">
        <f>L88/1000000</f>
        <v>0.92035253000000006</v>
      </c>
      <c r="Y88" s="38">
        <f>M88/1000000</f>
        <v>0.72479528000000004</v>
      </c>
      <c r="Z88" s="38">
        <f t="shared" si="24"/>
        <v>0.15555725000000001</v>
      </c>
      <c r="AA88" s="38">
        <f t="shared" si="24"/>
        <v>0.04</v>
      </c>
      <c r="AB88" s="38">
        <f>V88/P88%</f>
        <v>50.851684890979755</v>
      </c>
      <c r="AC88" s="38">
        <f t="shared" si="33"/>
        <v>54.739893507863826</v>
      </c>
      <c r="AD88" s="38">
        <f>X88/R88%</f>
        <v>13.112852559126393</v>
      </c>
      <c r="AE88" s="38">
        <f>Y88/S88%</f>
        <v>11.051404000975849</v>
      </c>
      <c r="AF88" s="38">
        <f>Z88/T88%</f>
        <v>37.010502117863268</v>
      </c>
      <c r="AG88" s="39">
        <f t="shared" si="34"/>
        <v>100</v>
      </c>
      <c r="AH88" s="40"/>
    </row>
    <row r="89" spans="1:34" s="275" customFormat="1" hidden="1" x14ac:dyDescent="0.25">
      <c r="A89" s="324" t="s">
        <v>67</v>
      </c>
      <c r="B89" s="339"/>
      <c r="C89" s="339"/>
      <c r="D89" s="339"/>
      <c r="E89" s="330">
        <f>F89+G89+H89</f>
        <v>0</v>
      </c>
      <c r="F89" s="339"/>
      <c r="G89" s="339"/>
      <c r="H89" s="339"/>
      <c r="I89" s="339"/>
      <c r="J89" s="339"/>
      <c r="K89" s="339"/>
      <c r="L89" s="330">
        <f>M89+N89+O89</f>
        <v>0</v>
      </c>
      <c r="M89" s="339"/>
      <c r="N89" s="339"/>
      <c r="O89" s="339"/>
      <c r="P89" s="273"/>
      <c r="Q89" s="273">
        <f t="shared" si="32"/>
        <v>0</v>
      </c>
      <c r="R89" s="273"/>
      <c r="S89" s="273"/>
      <c r="T89" s="273">
        <f t="shared" si="29"/>
        <v>0</v>
      </c>
      <c r="U89" s="273"/>
      <c r="V89" s="273"/>
      <c r="W89" s="273">
        <f t="shared" si="24"/>
        <v>0</v>
      </c>
      <c r="X89" s="273"/>
      <c r="Y89" s="273"/>
      <c r="Z89" s="273">
        <f t="shared" si="24"/>
        <v>0</v>
      </c>
      <c r="AA89" s="273"/>
      <c r="AB89" s="273"/>
      <c r="AC89" s="273"/>
      <c r="AD89" s="332"/>
      <c r="AE89" s="332"/>
      <c r="AF89" s="273" t="e">
        <f t="shared" ref="AF89:AG107" si="39">Z89/T89%</f>
        <v>#DIV/0!</v>
      </c>
      <c r="AG89" s="340"/>
      <c r="AH89" s="341"/>
    </row>
    <row r="90" spans="1:34" s="42" customFormat="1" x14ac:dyDescent="0.25">
      <c r="A90" s="107" t="s">
        <v>402</v>
      </c>
      <c r="B90" s="36">
        <v>24542089137.619999</v>
      </c>
      <c r="C90" s="36">
        <v>12617209787.969999</v>
      </c>
      <c r="D90" s="36">
        <v>17333452652.400002</v>
      </c>
      <c r="E90" s="119">
        <f>F90+G90+H90-E91</f>
        <v>19825087273.190002</v>
      </c>
      <c r="F90" s="36">
        <v>10780201616.74</v>
      </c>
      <c r="G90" s="36">
        <v>9043776396.4500008</v>
      </c>
      <c r="H90" s="36">
        <v>1868260</v>
      </c>
      <c r="I90" s="36">
        <v>18070574918.369999</v>
      </c>
      <c r="J90" s="36">
        <v>9423836014.6200008</v>
      </c>
      <c r="K90" s="36">
        <v>12802719406.290001</v>
      </c>
      <c r="L90" s="119">
        <f>M90+N90+O90-L91</f>
        <v>14690959526.700001</v>
      </c>
      <c r="M90" s="36">
        <v>7875478167.7700005</v>
      </c>
      <c r="N90" s="36">
        <v>6814923364.9799995</v>
      </c>
      <c r="O90" s="36">
        <v>1289993.9500000002</v>
      </c>
      <c r="P90" s="38">
        <f t="shared" si="26"/>
        <v>24542.089137619998</v>
      </c>
      <c r="Q90" s="38">
        <f t="shared" si="32"/>
        <v>17333.452652400003</v>
      </c>
      <c r="R90" s="38">
        <f>E90/1000000</f>
        <v>19825.087273190002</v>
      </c>
      <c r="S90" s="38">
        <f>F90/1000000</f>
        <v>10780.20161674</v>
      </c>
      <c r="T90" s="38">
        <f t="shared" si="29"/>
        <v>9043.7763964500009</v>
      </c>
      <c r="U90" s="38">
        <f t="shared" si="29"/>
        <v>1.86826</v>
      </c>
      <c r="V90" s="38">
        <f t="shared" si="29"/>
        <v>18070.574918369999</v>
      </c>
      <c r="W90" s="38">
        <f t="shared" si="24"/>
        <v>12802.719406290002</v>
      </c>
      <c r="X90" s="38">
        <f>L90/1000000</f>
        <v>14690.9595267</v>
      </c>
      <c r="Y90" s="38">
        <f>M90/1000000</f>
        <v>7875.4781677700003</v>
      </c>
      <c r="Z90" s="38">
        <f t="shared" si="24"/>
        <v>6814.9233649799999</v>
      </c>
      <c r="AA90" s="38">
        <f t="shared" si="24"/>
        <v>1.2899939500000002</v>
      </c>
      <c r="AB90" s="38">
        <f t="shared" ref="AB90:AB121" si="40">V90/P90%</f>
        <v>73.630956260647082</v>
      </c>
      <c r="AC90" s="38">
        <f t="shared" si="33"/>
        <v>73.861334282511379</v>
      </c>
      <c r="AD90" s="38">
        <f>X90/R90%</f>
        <v>74.102874425006846</v>
      </c>
      <c r="AE90" s="38">
        <f>Y90/S90%</f>
        <v>73.055017408399763</v>
      </c>
      <c r="AF90" s="38">
        <f t="shared" si="39"/>
        <v>75.354841453787998</v>
      </c>
      <c r="AG90" s="39">
        <f>AA90/U90%</f>
        <v>69.04788145118988</v>
      </c>
      <c r="AH90" s="40"/>
    </row>
    <row r="91" spans="1:34" s="275" customFormat="1" hidden="1" x14ac:dyDescent="0.25">
      <c r="A91" s="324" t="s">
        <v>67</v>
      </c>
      <c r="B91" s="339">
        <v>73466885</v>
      </c>
      <c r="C91" s="339">
        <v>12617209787.970001</v>
      </c>
      <c r="D91" s="339">
        <v>12689917672.970001</v>
      </c>
      <c r="E91" s="330">
        <f>F91+G91+H91</f>
        <v>759000</v>
      </c>
      <c r="F91" s="339">
        <v>0</v>
      </c>
      <c r="G91" s="339">
        <v>708000</v>
      </c>
      <c r="H91" s="339">
        <v>51000</v>
      </c>
      <c r="I91" s="339">
        <v>0</v>
      </c>
      <c r="J91" s="339">
        <v>9423836014.6200008</v>
      </c>
      <c r="K91" s="339">
        <v>9423104014.6200008</v>
      </c>
      <c r="L91" s="330">
        <f>M91+N91+O91</f>
        <v>732000</v>
      </c>
      <c r="M91" s="339">
        <v>0</v>
      </c>
      <c r="N91" s="339">
        <v>701000</v>
      </c>
      <c r="O91" s="339">
        <v>31000</v>
      </c>
      <c r="P91" s="273">
        <f t="shared" si="26"/>
        <v>73.466885000000005</v>
      </c>
      <c r="Q91" s="273">
        <f t="shared" si="32"/>
        <v>12689.917672970001</v>
      </c>
      <c r="R91" s="332"/>
      <c r="S91" s="273"/>
      <c r="T91" s="273">
        <f t="shared" si="29"/>
        <v>0.70799999999999996</v>
      </c>
      <c r="U91" s="273">
        <f t="shared" si="29"/>
        <v>5.0999999999999997E-2</v>
      </c>
      <c r="V91" s="273">
        <f t="shared" si="29"/>
        <v>0</v>
      </c>
      <c r="W91" s="273">
        <f t="shared" si="24"/>
        <v>9423.1040146200012</v>
      </c>
      <c r="X91" s="273"/>
      <c r="Y91" s="273"/>
      <c r="Z91" s="273">
        <f t="shared" si="24"/>
        <v>0.70099999999999996</v>
      </c>
      <c r="AA91" s="273">
        <f t="shared" si="24"/>
        <v>3.1E-2</v>
      </c>
      <c r="AB91" s="273">
        <f t="shared" si="40"/>
        <v>0</v>
      </c>
      <c r="AC91" s="273">
        <f t="shared" si="33"/>
        <v>74.25662055075081</v>
      </c>
      <c r="AD91" s="273"/>
      <c r="AE91" s="273"/>
      <c r="AF91" s="273">
        <f t="shared" si="39"/>
        <v>99.011299435028249</v>
      </c>
      <c r="AG91" s="340"/>
      <c r="AH91" s="341"/>
    </row>
    <row r="92" spans="1:34" x14ac:dyDescent="0.25">
      <c r="A92" s="108" t="s">
        <v>393</v>
      </c>
      <c r="B92" s="342">
        <v>7140778775.7299995</v>
      </c>
      <c r="C92" s="342">
        <v>59771745.850000001</v>
      </c>
      <c r="D92" s="342">
        <v>76627845.849999994</v>
      </c>
      <c r="E92" s="119">
        <f>F92+G92+H92-E93</f>
        <v>7123922675.7300005</v>
      </c>
      <c r="F92" s="342">
        <v>4709754423.7200003</v>
      </c>
      <c r="G92" s="342">
        <v>2414012452.0100002</v>
      </c>
      <c r="H92" s="342">
        <v>155800</v>
      </c>
      <c r="I92" s="342">
        <v>5281644440.9499998</v>
      </c>
      <c r="J92" s="342">
        <v>12039680.9</v>
      </c>
      <c r="K92" s="342">
        <v>20049065.899999999</v>
      </c>
      <c r="L92" s="119">
        <f>M92+N92+O92-L93</f>
        <v>5273635055.9499998</v>
      </c>
      <c r="M92" s="342">
        <v>3439689843.96</v>
      </c>
      <c r="N92" s="342">
        <v>1833789411.99</v>
      </c>
      <c r="O92" s="342">
        <v>155800</v>
      </c>
      <c r="P92" s="32">
        <f t="shared" ref="P92:P97" si="41">B92/1000000</f>
        <v>7140.7787757299993</v>
      </c>
      <c r="Q92" s="32">
        <f t="shared" ref="Q92:Q97" si="42">D92/1000000</f>
        <v>76.62784585</v>
      </c>
      <c r="R92" s="32">
        <f>E92/1000000</f>
        <v>7123.9226757300003</v>
      </c>
      <c r="S92" s="32">
        <f>F92/1000000</f>
        <v>4709.75442372</v>
      </c>
      <c r="T92" s="32">
        <f t="shared" ref="T92:T97" si="43">G92/1000000</f>
        <v>2414.0124520100003</v>
      </c>
      <c r="U92" s="32">
        <f t="shared" ref="U92:U97" si="44">H92/1000000</f>
        <v>0.15579999999999999</v>
      </c>
      <c r="V92" s="32">
        <f t="shared" ref="V92:V97" si="45">I92/1000000</f>
        <v>5281.64444095</v>
      </c>
      <c r="W92" s="32">
        <f t="shared" ref="W92:W97" si="46">K92/1000000</f>
        <v>20.049065899999999</v>
      </c>
      <c r="X92" s="32">
        <f>L92/1000000</f>
        <v>5273.6350559499997</v>
      </c>
      <c r="Y92" s="32">
        <f>M92/1000000</f>
        <v>3439.68984396</v>
      </c>
      <c r="Z92" s="32">
        <f t="shared" ref="Z92:Z97" si="47">N92/1000000</f>
        <v>1833.78941199</v>
      </c>
      <c r="AA92" s="32">
        <f t="shared" ref="AA92:AA97" si="48">O92/1000000</f>
        <v>0.15579999999999999</v>
      </c>
      <c r="AB92" s="32">
        <f t="shared" ref="AB92:AB97" si="49">V92/P92%</f>
        <v>73.964543739979661</v>
      </c>
      <c r="AC92" s="32">
        <f t="shared" ref="AC92:AC97" si="50">W92/Q92%</f>
        <v>26.16420398825553</v>
      </c>
      <c r="AD92" s="32">
        <f>X92/R92%</f>
        <v>74.027123763097293</v>
      </c>
      <c r="AE92" s="32">
        <f>Y92/S92%</f>
        <v>73.033316273062937</v>
      </c>
      <c r="AF92" s="32">
        <f t="shared" ref="AF92:AF97" si="51">Z92/T92%</f>
        <v>75.964372531016394</v>
      </c>
      <c r="AG92" s="34">
        <f>AA92/U92%</f>
        <v>100</v>
      </c>
      <c r="AH92" s="40"/>
    </row>
    <row r="93" spans="1:34" s="275" customFormat="1" hidden="1" x14ac:dyDescent="0.25">
      <c r="A93" s="272" t="s">
        <v>73</v>
      </c>
      <c r="B93" s="339">
        <v>0</v>
      </c>
      <c r="C93" s="339">
        <v>59771745.850000001</v>
      </c>
      <c r="D93" s="339">
        <v>59771745.850000001</v>
      </c>
      <c r="E93" s="330">
        <f>F93+G93+H93</f>
        <v>0</v>
      </c>
      <c r="F93" s="339">
        <v>0</v>
      </c>
      <c r="G93" s="339">
        <v>0</v>
      </c>
      <c r="H93" s="339">
        <v>0</v>
      </c>
      <c r="I93" s="339">
        <v>0</v>
      </c>
      <c r="J93" s="339">
        <v>12039680.9</v>
      </c>
      <c r="K93" s="339">
        <v>12039680.9</v>
      </c>
      <c r="L93" s="330">
        <f>M93+N93+O93</f>
        <v>0</v>
      </c>
      <c r="M93" s="339">
        <v>0</v>
      </c>
      <c r="N93" s="339">
        <v>0</v>
      </c>
      <c r="O93" s="339">
        <v>0</v>
      </c>
      <c r="P93" s="273">
        <f t="shared" si="41"/>
        <v>0</v>
      </c>
      <c r="Q93" s="273">
        <f t="shared" si="42"/>
        <v>59.771745850000002</v>
      </c>
      <c r="R93" s="273"/>
      <c r="S93" s="273"/>
      <c r="T93" s="273">
        <f t="shared" si="43"/>
        <v>0</v>
      </c>
      <c r="U93" s="273">
        <f t="shared" si="44"/>
        <v>0</v>
      </c>
      <c r="V93" s="273">
        <f t="shared" si="45"/>
        <v>0</v>
      </c>
      <c r="W93" s="273">
        <f t="shared" si="46"/>
        <v>12.0396809</v>
      </c>
      <c r="X93" s="273"/>
      <c r="Y93" s="273"/>
      <c r="Z93" s="273">
        <f t="shared" si="47"/>
        <v>0</v>
      </c>
      <c r="AA93" s="273">
        <f t="shared" si="48"/>
        <v>0</v>
      </c>
      <c r="AB93" s="273" t="e">
        <f t="shared" si="49"/>
        <v>#DIV/0!</v>
      </c>
      <c r="AC93" s="273">
        <f t="shared" si="50"/>
        <v>20.142762652799441</v>
      </c>
      <c r="AD93" s="273"/>
      <c r="AE93" s="273"/>
      <c r="AF93" s="273" t="e">
        <f t="shared" si="51"/>
        <v>#DIV/0!</v>
      </c>
      <c r="AG93" s="274"/>
      <c r="AH93" s="341"/>
    </row>
    <row r="94" spans="1:34" x14ac:dyDescent="0.25">
      <c r="A94" s="108" t="s">
        <v>394</v>
      </c>
      <c r="B94" s="342">
        <v>11868946443</v>
      </c>
      <c r="C94" s="342">
        <v>12066029775.52</v>
      </c>
      <c r="D94" s="342">
        <v>13669375279.139999</v>
      </c>
      <c r="E94" s="119">
        <f>F94+G94+H94-E95</f>
        <v>10265600939.380001</v>
      </c>
      <c r="F94" s="342">
        <v>4505258557.54</v>
      </c>
      <c r="G94" s="342">
        <v>5760342381.8400002</v>
      </c>
      <c r="H94" s="342">
        <v>0</v>
      </c>
      <c r="I94" s="342">
        <v>8854692142.9099998</v>
      </c>
      <c r="J94" s="342">
        <v>8992338427.0300007</v>
      </c>
      <c r="K94" s="342">
        <v>10143033959.969999</v>
      </c>
      <c r="L94" s="119">
        <f>M94+N94+O94-L95</f>
        <v>7703996609.9699993</v>
      </c>
      <c r="M94" s="342">
        <v>3329947035.8499999</v>
      </c>
      <c r="N94" s="342">
        <v>4374049574.1199999</v>
      </c>
      <c r="O94" s="342">
        <v>0</v>
      </c>
      <c r="P94" s="32">
        <f t="shared" si="41"/>
        <v>11868.946443000001</v>
      </c>
      <c r="Q94" s="32">
        <f t="shared" si="42"/>
        <v>13669.37527914</v>
      </c>
      <c r="R94" s="32">
        <f>E94/1000000</f>
        <v>10265.600939380001</v>
      </c>
      <c r="S94" s="32">
        <f>F94/1000000</f>
        <v>4505.2585575399999</v>
      </c>
      <c r="T94" s="32">
        <f t="shared" si="43"/>
        <v>5760.3423818400006</v>
      </c>
      <c r="U94" s="32">
        <f t="shared" si="44"/>
        <v>0</v>
      </c>
      <c r="V94" s="32">
        <f t="shared" si="45"/>
        <v>8854.6921429100003</v>
      </c>
      <c r="W94" s="32">
        <f t="shared" si="46"/>
        <v>10143.03395997</v>
      </c>
      <c r="X94" s="32">
        <f>L94/1000000</f>
        <v>7703.9966099699996</v>
      </c>
      <c r="Y94" s="32">
        <f>M94/1000000</f>
        <v>3329.9470358499998</v>
      </c>
      <c r="Z94" s="32">
        <f t="shared" si="47"/>
        <v>4374.0495741200002</v>
      </c>
      <c r="AA94" s="32">
        <f t="shared" si="48"/>
        <v>0</v>
      </c>
      <c r="AB94" s="32">
        <f t="shared" si="49"/>
        <v>74.603859621696003</v>
      </c>
      <c r="AC94" s="32">
        <f t="shared" si="50"/>
        <v>74.202615356157963</v>
      </c>
      <c r="AD94" s="32">
        <f>X94/R94%</f>
        <v>75.04671821419241</v>
      </c>
      <c r="AE94" s="32">
        <f>Y94/S94%</f>
        <v>73.912451268240773</v>
      </c>
      <c r="AF94" s="32">
        <f t="shared" si="51"/>
        <v>75.933847055855338</v>
      </c>
      <c r="AG94" s="116" t="s">
        <v>30</v>
      </c>
      <c r="AH94" s="40"/>
    </row>
    <row r="95" spans="1:34" s="275" customFormat="1" hidden="1" x14ac:dyDescent="0.25">
      <c r="A95" s="272" t="s">
        <v>73</v>
      </c>
      <c r="B95" s="339">
        <v>0</v>
      </c>
      <c r="C95" s="339">
        <v>12066029775.52</v>
      </c>
      <c r="D95" s="339">
        <v>12066029775.52</v>
      </c>
      <c r="E95" s="330">
        <f>F95+G95+H95</f>
        <v>0</v>
      </c>
      <c r="F95" s="339">
        <v>0</v>
      </c>
      <c r="G95" s="339">
        <v>0</v>
      </c>
      <c r="H95" s="339">
        <v>0</v>
      </c>
      <c r="I95" s="339">
        <v>0</v>
      </c>
      <c r="J95" s="339">
        <v>8992338427.0300007</v>
      </c>
      <c r="K95" s="339">
        <v>8992338427.0300007</v>
      </c>
      <c r="L95" s="330">
        <f>M95+N95+O95</f>
        <v>0</v>
      </c>
      <c r="M95" s="339">
        <v>0</v>
      </c>
      <c r="N95" s="339">
        <v>0</v>
      </c>
      <c r="O95" s="339">
        <v>0</v>
      </c>
      <c r="P95" s="273">
        <f t="shared" si="41"/>
        <v>0</v>
      </c>
      <c r="Q95" s="273">
        <f t="shared" si="42"/>
        <v>12066.029775520001</v>
      </c>
      <c r="R95" s="273"/>
      <c r="S95" s="273"/>
      <c r="T95" s="273">
        <f t="shared" si="43"/>
        <v>0</v>
      </c>
      <c r="U95" s="273">
        <f t="shared" si="44"/>
        <v>0</v>
      </c>
      <c r="V95" s="273">
        <f t="shared" si="45"/>
        <v>0</v>
      </c>
      <c r="W95" s="273">
        <f t="shared" si="46"/>
        <v>8992.3384270300012</v>
      </c>
      <c r="X95" s="273"/>
      <c r="Y95" s="273"/>
      <c r="Z95" s="273">
        <f t="shared" si="47"/>
        <v>0</v>
      </c>
      <c r="AA95" s="273">
        <f t="shared" si="48"/>
        <v>0</v>
      </c>
      <c r="AB95" s="273" t="e">
        <f t="shared" si="49"/>
        <v>#DIV/0!</v>
      </c>
      <c r="AC95" s="273">
        <f t="shared" si="50"/>
        <v>74.526075223798827</v>
      </c>
      <c r="AD95" s="273"/>
      <c r="AE95" s="273"/>
      <c r="AF95" s="273" t="e">
        <f t="shared" si="51"/>
        <v>#DIV/0!</v>
      </c>
      <c r="AG95" s="274"/>
      <c r="AH95" s="341"/>
    </row>
    <row r="96" spans="1:34" x14ac:dyDescent="0.25">
      <c r="A96" s="108" t="s">
        <v>395</v>
      </c>
      <c r="B96" s="342">
        <v>1966303415.3800001</v>
      </c>
      <c r="C96" s="342">
        <v>60659435.600000001</v>
      </c>
      <c r="D96" s="342">
        <v>197349035.59999999</v>
      </c>
      <c r="E96" s="119">
        <f>F96+G96+H96-E97</f>
        <v>1829613815.3800001</v>
      </c>
      <c r="F96" s="342">
        <v>1191598849.1800001</v>
      </c>
      <c r="G96" s="342">
        <v>638014966.20000005</v>
      </c>
      <c r="H96" s="342">
        <v>0</v>
      </c>
      <c r="I96" s="342">
        <v>1378918734.1700001</v>
      </c>
      <c r="J96" s="342">
        <v>10446796</v>
      </c>
      <c r="K96" s="342">
        <v>111597147.8</v>
      </c>
      <c r="L96" s="119">
        <f>M96+N96+O96-L97</f>
        <v>1277768382.3699999</v>
      </c>
      <c r="M96" s="342">
        <v>850663489.67999995</v>
      </c>
      <c r="N96" s="342">
        <v>427104892.69</v>
      </c>
      <c r="O96" s="342">
        <v>0</v>
      </c>
      <c r="P96" s="32">
        <f t="shared" si="41"/>
        <v>1966.3034153800002</v>
      </c>
      <c r="Q96" s="32">
        <f t="shared" si="42"/>
        <v>197.34903560000001</v>
      </c>
      <c r="R96" s="32">
        <f>E96/1000000</f>
        <v>1829.61381538</v>
      </c>
      <c r="S96" s="32">
        <f>F96/1000000</f>
        <v>1191.5988491800001</v>
      </c>
      <c r="T96" s="32">
        <f t="shared" si="43"/>
        <v>638.0149662</v>
      </c>
      <c r="U96" s="32">
        <f t="shared" si="44"/>
        <v>0</v>
      </c>
      <c r="V96" s="32">
        <f t="shared" si="45"/>
        <v>1378.9187341700001</v>
      </c>
      <c r="W96" s="32">
        <f t="shared" si="46"/>
        <v>111.5971478</v>
      </c>
      <c r="X96" s="32">
        <f>L96/1000000</f>
        <v>1277.7683823699999</v>
      </c>
      <c r="Y96" s="32">
        <f>M96/1000000</f>
        <v>850.66348968</v>
      </c>
      <c r="Z96" s="32">
        <f t="shared" si="47"/>
        <v>427.10489268999999</v>
      </c>
      <c r="AA96" s="32">
        <f t="shared" si="48"/>
        <v>0</v>
      </c>
      <c r="AB96" s="32">
        <f t="shared" si="49"/>
        <v>70.127464733285606</v>
      </c>
      <c r="AC96" s="32">
        <f t="shared" si="50"/>
        <v>56.548109019489928</v>
      </c>
      <c r="AD96" s="32">
        <f>X96/R96%</f>
        <v>69.838146806112462</v>
      </c>
      <c r="AE96" s="32">
        <f>Y96/S96%</f>
        <v>71.388411483057823</v>
      </c>
      <c r="AF96" s="32">
        <f t="shared" si="51"/>
        <v>66.942770203938196</v>
      </c>
      <c r="AG96" s="116" t="s">
        <v>30</v>
      </c>
      <c r="AH96" s="40"/>
    </row>
    <row r="97" spans="1:34" s="275" customFormat="1" hidden="1" x14ac:dyDescent="0.25">
      <c r="A97" s="272" t="s">
        <v>73</v>
      </c>
      <c r="B97" s="339">
        <v>0</v>
      </c>
      <c r="C97" s="339">
        <v>60659435.600000001</v>
      </c>
      <c r="D97" s="339">
        <v>60659435.600000001</v>
      </c>
      <c r="E97" s="330">
        <f>F97+G97+H97</f>
        <v>0</v>
      </c>
      <c r="F97" s="339">
        <v>0</v>
      </c>
      <c r="G97" s="339">
        <v>0</v>
      </c>
      <c r="H97" s="339">
        <v>0</v>
      </c>
      <c r="I97" s="339">
        <v>0</v>
      </c>
      <c r="J97" s="339">
        <v>10446796</v>
      </c>
      <c r="K97" s="339">
        <v>10446796</v>
      </c>
      <c r="L97" s="330">
        <f>M97+N97+O97</f>
        <v>0</v>
      </c>
      <c r="M97" s="339">
        <v>0</v>
      </c>
      <c r="N97" s="339">
        <v>0</v>
      </c>
      <c r="O97" s="339">
        <v>0</v>
      </c>
      <c r="P97" s="273">
        <f t="shared" si="41"/>
        <v>0</v>
      </c>
      <c r="Q97" s="273">
        <f t="shared" si="42"/>
        <v>60.659435600000002</v>
      </c>
      <c r="R97" s="273"/>
      <c r="S97" s="273"/>
      <c r="T97" s="273">
        <f t="shared" si="43"/>
        <v>0</v>
      </c>
      <c r="U97" s="273">
        <f t="shared" si="44"/>
        <v>0</v>
      </c>
      <c r="V97" s="273">
        <f t="shared" si="45"/>
        <v>0</v>
      </c>
      <c r="W97" s="273">
        <f t="shared" si="46"/>
        <v>10.446796000000001</v>
      </c>
      <c r="X97" s="273"/>
      <c r="Y97" s="273"/>
      <c r="Z97" s="273">
        <f t="shared" si="47"/>
        <v>0</v>
      </c>
      <c r="AA97" s="273">
        <f t="shared" si="48"/>
        <v>0</v>
      </c>
      <c r="AB97" s="273" t="e">
        <f t="shared" si="49"/>
        <v>#DIV/0!</v>
      </c>
      <c r="AC97" s="273">
        <f t="shared" si="50"/>
        <v>17.22204616094384</v>
      </c>
      <c r="AD97" s="273"/>
      <c r="AE97" s="273"/>
      <c r="AF97" s="273" t="e">
        <f t="shared" si="51"/>
        <v>#DIV/0!</v>
      </c>
      <c r="AG97" s="274"/>
      <c r="AH97" s="341"/>
    </row>
    <row r="98" spans="1:34" x14ac:dyDescent="0.25">
      <c r="A98" s="108" t="s">
        <v>396</v>
      </c>
      <c r="B98" s="342">
        <v>2153674196</v>
      </c>
      <c r="C98" s="342">
        <v>0</v>
      </c>
      <c r="D98" s="342">
        <v>2153674196</v>
      </c>
      <c r="E98" s="119">
        <f>F98+G98+H98</f>
        <v>0</v>
      </c>
      <c r="F98" s="342">
        <v>0</v>
      </c>
      <c r="G98" s="342">
        <v>0</v>
      </c>
      <c r="H98" s="342">
        <v>0</v>
      </c>
      <c r="I98" s="342">
        <v>1566227546.5999999</v>
      </c>
      <c r="J98" s="342">
        <v>0</v>
      </c>
      <c r="K98" s="342">
        <v>1566227546.5999999</v>
      </c>
      <c r="L98" s="119">
        <f>M98+N98+O98</f>
        <v>0</v>
      </c>
      <c r="M98" s="342">
        <v>0</v>
      </c>
      <c r="N98" s="342">
        <v>0</v>
      </c>
      <c r="O98" s="342">
        <v>0</v>
      </c>
      <c r="P98" s="32">
        <f t="shared" ref="P98:P101" si="52">B98/1000000</f>
        <v>2153.6741959999999</v>
      </c>
      <c r="Q98" s="32">
        <f t="shared" ref="Q98:Q101" si="53">D98/1000000</f>
        <v>2153.6741959999999</v>
      </c>
      <c r="R98" s="32">
        <f t="shared" ref="R98:S100" si="54">E98/1000000</f>
        <v>0</v>
      </c>
      <c r="S98" s="32">
        <f t="shared" si="54"/>
        <v>0</v>
      </c>
      <c r="T98" s="32">
        <f t="shared" ref="T98:T101" si="55">G98/1000000</f>
        <v>0</v>
      </c>
      <c r="U98" s="32">
        <f t="shared" ref="U98:U101" si="56">H98/1000000</f>
        <v>0</v>
      </c>
      <c r="V98" s="32">
        <f t="shared" ref="V98:V101" si="57">I98/1000000</f>
        <v>1566.2275465999999</v>
      </c>
      <c r="W98" s="32">
        <f t="shared" ref="W98:W101" si="58">K98/1000000</f>
        <v>1566.2275465999999</v>
      </c>
      <c r="X98" s="32">
        <f t="shared" ref="X98:Y100" si="59">L98/1000000</f>
        <v>0</v>
      </c>
      <c r="Y98" s="32">
        <f t="shared" si="59"/>
        <v>0</v>
      </c>
      <c r="Z98" s="32">
        <f t="shared" ref="Z98:Z101" si="60">N98/1000000</f>
        <v>0</v>
      </c>
      <c r="AA98" s="32">
        <f t="shared" ref="AA98:AA101" si="61">O98/1000000</f>
        <v>0</v>
      </c>
      <c r="AB98" s="32">
        <f t="shared" ref="AB98:AB101" si="62">V98/P98%</f>
        <v>72.723513589425011</v>
      </c>
      <c r="AC98" s="32">
        <f t="shared" ref="AC98:AC101" si="63">W98/Q98%</f>
        <v>72.723513589425011</v>
      </c>
      <c r="AD98" s="109" t="s">
        <v>30</v>
      </c>
      <c r="AE98" s="109" t="s">
        <v>30</v>
      </c>
      <c r="AF98" s="109" t="s">
        <v>30</v>
      </c>
      <c r="AG98" s="116" t="s">
        <v>30</v>
      </c>
      <c r="AH98" s="40"/>
    </row>
    <row r="99" spans="1:34" ht="26.4" hidden="1" x14ac:dyDescent="0.25">
      <c r="A99" s="108" t="s">
        <v>397</v>
      </c>
      <c r="B99" s="342">
        <v>101243537</v>
      </c>
      <c r="C99" s="342">
        <v>0</v>
      </c>
      <c r="D99" s="342">
        <v>98551637</v>
      </c>
      <c r="E99" s="119">
        <f>F99+G99+H99</f>
        <v>2691900</v>
      </c>
      <c r="F99" s="342">
        <v>0</v>
      </c>
      <c r="G99" s="342">
        <v>2691900</v>
      </c>
      <c r="H99" s="342">
        <v>0</v>
      </c>
      <c r="I99" s="342">
        <v>74953083.810000002</v>
      </c>
      <c r="J99" s="342">
        <v>0</v>
      </c>
      <c r="K99" s="342">
        <v>72984437.739999995</v>
      </c>
      <c r="L99" s="119">
        <f>M99+N99+O99</f>
        <v>1968646.07</v>
      </c>
      <c r="M99" s="342">
        <v>0</v>
      </c>
      <c r="N99" s="342">
        <v>1968646.07</v>
      </c>
      <c r="O99" s="342">
        <v>0</v>
      </c>
      <c r="P99" s="32">
        <f t="shared" si="52"/>
        <v>101.243537</v>
      </c>
      <c r="Q99" s="32">
        <f t="shared" si="53"/>
        <v>98.551636999999999</v>
      </c>
      <c r="R99" s="32">
        <f t="shared" si="54"/>
        <v>2.6919</v>
      </c>
      <c r="S99" s="32">
        <f t="shared" si="54"/>
        <v>0</v>
      </c>
      <c r="T99" s="32">
        <f t="shared" si="55"/>
        <v>2.6919</v>
      </c>
      <c r="U99" s="32">
        <f t="shared" si="56"/>
        <v>0</v>
      </c>
      <c r="V99" s="32">
        <f t="shared" si="57"/>
        <v>74.953083809999995</v>
      </c>
      <c r="W99" s="32">
        <f t="shared" si="58"/>
        <v>72.98443773999999</v>
      </c>
      <c r="X99" s="32">
        <f t="shared" si="59"/>
        <v>1.9686460700000001</v>
      </c>
      <c r="Y99" s="32">
        <f t="shared" si="59"/>
        <v>0</v>
      </c>
      <c r="Z99" s="32">
        <f t="shared" si="60"/>
        <v>1.9686460700000001</v>
      </c>
      <c r="AA99" s="32">
        <f t="shared" si="61"/>
        <v>0</v>
      </c>
      <c r="AB99" s="32">
        <f t="shared" si="62"/>
        <v>74.032462743769997</v>
      </c>
      <c r="AC99" s="32">
        <f t="shared" si="63"/>
        <v>74.057052690053226</v>
      </c>
      <c r="AD99" s="32">
        <f>X99/R99%</f>
        <v>73.132214049556083</v>
      </c>
      <c r="AE99" s="109" t="s">
        <v>30</v>
      </c>
      <c r="AF99" s="32">
        <f t="shared" ref="AF99:AF101" si="64">Z99/T99%</f>
        <v>73.132214049556083</v>
      </c>
      <c r="AG99" s="116" t="s">
        <v>30</v>
      </c>
      <c r="AH99" s="40"/>
    </row>
    <row r="100" spans="1:34" x14ac:dyDescent="0.25">
      <c r="A100" s="108" t="s">
        <v>398</v>
      </c>
      <c r="B100" s="342">
        <v>556110987.38999999</v>
      </c>
      <c r="C100" s="342">
        <v>68653716</v>
      </c>
      <c r="D100" s="342">
        <v>447497316</v>
      </c>
      <c r="E100" s="119">
        <f>F100+G100+H100-E101</f>
        <v>176508387.38999999</v>
      </c>
      <c r="F100" s="342">
        <v>121631473.14</v>
      </c>
      <c r="G100" s="342">
        <v>53962354.25</v>
      </c>
      <c r="H100" s="342">
        <v>1673560</v>
      </c>
      <c r="I100" s="342">
        <v>438160427.56</v>
      </c>
      <c r="J100" s="342">
        <v>63439333.009999998</v>
      </c>
      <c r="K100" s="342">
        <v>364972480.13999999</v>
      </c>
      <c r="L100" s="119">
        <f>M100+N100+O100-L101</f>
        <v>135895280.43000001</v>
      </c>
      <c r="M100" s="342">
        <v>87897591.060000002</v>
      </c>
      <c r="N100" s="342">
        <v>47634395.420000002</v>
      </c>
      <c r="O100" s="342">
        <v>1095293.9500000002</v>
      </c>
      <c r="P100" s="32">
        <f t="shared" si="52"/>
        <v>556.11098738999999</v>
      </c>
      <c r="Q100" s="32">
        <f t="shared" si="53"/>
        <v>447.49731600000001</v>
      </c>
      <c r="R100" s="32">
        <f t="shared" si="54"/>
        <v>176.50838739</v>
      </c>
      <c r="S100" s="32">
        <f t="shared" si="54"/>
        <v>121.63147314</v>
      </c>
      <c r="T100" s="32">
        <f t="shared" si="55"/>
        <v>53.962354249999997</v>
      </c>
      <c r="U100" s="32">
        <f t="shared" si="56"/>
        <v>1.6735599999999999</v>
      </c>
      <c r="V100" s="32">
        <f t="shared" si="57"/>
        <v>438.16042756000002</v>
      </c>
      <c r="W100" s="32">
        <f t="shared" si="58"/>
        <v>364.97248013999996</v>
      </c>
      <c r="X100" s="32">
        <f t="shared" si="59"/>
        <v>135.89528043000001</v>
      </c>
      <c r="Y100" s="32">
        <f t="shared" si="59"/>
        <v>87.897591059999996</v>
      </c>
      <c r="Z100" s="32">
        <f t="shared" si="60"/>
        <v>47.634395420000004</v>
      </c>
      <c r="AA100" s="32">
        <f t="shared" si="61"/>
        <v>1.0952939500000003</v>
      </c>
      <c r="AB100" s="32">
        <f t="shared" si="62"/>
        <v>78.79010440279589</v>
      </c>
      <c r="AC100" s="32">
        <f t="shared" si="63"/>
        <v>81.558585289928303</v>
      </c>
      <c r="AD100" s="32">
        <f>X100/R100%</f>
        <v>76.990834509034272</v>
      </c>
      <c r="AE100" s="32">
        <f>Y100/S100%</f>
        <v>72.265499044666086</v>
      </c>
      <c r="AF100" s="32">
        <f t="shared" si="64"/>
        <v>88.273382586898535</v>
      </c>
      <c r="AG100" s="34">
        <f>AA100/U100%</f>
        <v>65.446948421329395</v>
      </c>
      <c r="AH100" s="40"/>
    </row>
    <row r="101" spans="1:34" s="275" customFormat="1" hidden="1" x14ac:dyDescent="0.25">
      <c r="A101" s="272" t="s">
        <v>73</v>
      </c>
      <c r="B101" s="339">
        <v>0</v>
      </c>
      <c r="C101" s="339">
        <v>68653716</v>
      </c>
      <c r="D101" s="339">
        <v>67894716</v>
      </c>
      <c r="E101" s="330">
        <f>F101+G101+H101</f>
        <v>759000</v>
      </c>
      <c r="F101" s="339">
        <v>0</v>
      </c>
      <c r="G101" s="339">
        <v>708000</v>
      </c>
      <c r="H101" s="339">
        <v>51000</v>
      </c>
      <c r="I101" s="339">
        <v>0</v>
      </c>
      <c r="J101" s="339">
        <v>63439333.009999998</v>
      </c>
      <c r="K101" s="339">
        <v>62707333.009999998</v>
      </c>
      <c r="L101" s="330">
        <f>M101+N101+O101</f>
        <v>732000</v>
      </c>
      <c r="M101" s="339">
        <v>0</v>
      </c>
      <c r="N101" s="339">
        <v>701000</v>
      </c>
      <c r="O101" s="339">
        <v>31000</v>
      </c>
      <c r="P101" s="273">
        <f t="shared" si="52"/>
        <v>0</v>
      </c>
      <c r="Q101" s="273">
        <f t="shared" si="53"/>
        <v>67.894716000000003</v>
      </c>
      <c r="R101" s="273"/>
      <c r="S101" s="273"/>
      <c r="T101" s="273">
        <f t="shared" si="55"/>
        <v>0.70799999999999996</v>
      </c>
      <c r="U101" s="273">
        <f t="shared" si="56"/>
        <v>5.0999999999999997E-2</v>
      </c>
      <c r="V101" s="273">
        <f t="shared" si="57"/>
        <v>0</v>
      </c>
      <c r="W101" s="273">
        <f t="shared" si="58"/>
        <v>62.707333009999999</v>
      </c>
      <c r="X101" s="273"/>
      <c r="Y101" s="273"/>
      <c r="Z101" s="273">
        <f t="shared" si="60"/>
        <v>0.70099999999999996</v>
      </c>
      <c r="AA101" s="273">
        <f t="shared" si="61"/>
        <v>3.1E-2</v>
      </c>
      <c r="AB101" s="273" t="e">
        <f t="shared" si="62"/>
        <v>#DIV/0!</v>
      </c>
      <c r="AC101" s="273">
        <f t="shared" si="63"/>
        <v>92.359666118936261</v>
      </c>
      <c r="AD101" s="273"/>
      <c r="AE101" s="273"/>
      <c r="AF101" s="273">
        <f t="shared" si="64"/>
        <v>99.011299435028249</v>
      </c>
      <c r="AG101" s="274"/>
      <c r="AH101" s="341"/>
    </row>
    <row r="102" spans="1:34" ht="26.4" hidden="1" x14ac:dyDescent="0.25">
      <c r="A102" s="108" t="s">
        <v>399</v>
      </c>
      <c r="B102" s="342">
        <v>3595943.81</v>
      </c>
      <c r="C102" s="342">
        <v>0</v>
      </c>
      <c r="D102" s="342">
        <v>3595943.81</v>
      </c>
      <c r="E102" s="119">
        <f>F102+G102+H102</f>
        <v>0</v>
      </c>
      <c r="F102" s="342">
        <v>0</v>
      </c>
      <c r="G102" s="342">
        <v>0</v>
      </c>
      <c r="H102" s="342">
        <v>0</v>
      </c>
      <c r="I102" s="342">
        <v>2776575.81</v>
      </c>
      <c r="J102" s="342">
        <v>0</v>
      </c>
      <c r="K102" s="342">
        <v>2776575.81</v>
      </c>
      <c r="L102" s="119">
        <f>M102+N102+O102</f>
        <v>0</v>
      </c>
      <c r="M102" s="342">
        <v>0</v>
      </c>
      <c r="N102" s="342">
        <v>0</v>
      </c>
      <c r="O102" s="342">
        <v>0</v>
      </c>
      <c r="P102" s="32">
        <f t="shared" ref="P102:P104" si="65">B102/1000000</f>
        <v>3.5959438100000001</v>
      </c>
      <c r="Q102" s="32">
        <f t="shared" ref="Q102:Q104" si="66">D102/1000000</f>
        <v>3.5959438100000001</v>
      </c>
      <c r="R102" s="32">
        <f>E102/1000000</f>
        <v>0</v>
      </c>
      <c r="S102" s="32">
        <f>F102/1000000</f>
        <v>0</v>
      </c>
      <c r="T102" s="32">
        <f t="shared" ref="T102:T104" si="67">G102/1000000</f>
        <v>0</v>
      </c>
      <c r="U102" s="32">
        <f t="shared" ref="U102:U104" si="68">H102/1000000</f>
        <v>0</v>
      </c>
      <c r="V102" s="32">
        <f t="shared" ref="V102:V104" si="69">I102/1000000</f>
        <v>2.7765758100000002</v>
      </c>
      <c r="W102" s="32">
        <f t="shared" ref="W102:W104" si="70">K102/1000000</f>
        <v>2.7765758100000002</v>
      </c>
      <c r="X102" s="32">
        <f>L102/1000000</f>
        <v>0</v>
      </c>
      <c r="Y102" s="32">
        <f>M102/1000000</f>
        <v>0</v>
      </c>
      <c r="Z102" s="32">
        <f t="shared" ref="Z102:Z104" si="71">N102/1000000</f>
        <v>0</v>
      </c>
      <c r="AA102" s="32">
        <f t="shared" ref="AA102:AA104" si="72">O102/1000000</f>
        <v>0</v>
      </c>
      <c r="AB102" s="32">
        <f t="shared" ref="AB102:AB104" si="73">V102/P102%</f>
        <v>77.214104466220803</v>
      </c>
      <c r="AC102" s="32">
        <f t="shared" ref="AC102:AC104" si="74">W102/Q102%</f>
        <v>77.214104466220803</v>
      </c>
      <c r="AD102" s="109" t="s">
        <v>30</v>
      </c>
      <c r="AE102" s="109" t="s">
        <v>30</v>
      </c>
      <c r="AF102" s="109" t="s">
        <v>30</v>
      </c>
      <c r="AG102" s="116" t="s">
        <v>30</v>
      </c>
      <c r="AH102" s="40"/>
    </row>
    <row r="103" spans="1:34" x14ac:dyDescent="0.25">
      <c r="A103" s="108" t="s">
        <v>400</v>
      </c>
      <c r="B103" s="342">
        <v>751435839.30999994</v>
      </c>
      <c r="C103" s="342">
        <v>362095115</v>
      </c>
      <c r="D103" s="342">
        <v>686781399</v>
      </c>
      <c r="E103" s="119">
        <f>F103+G103+H103-E104</f>
        <v>426749555.31</v>
      </c>
      <c r="F103" s="342">
        <v>251958313.16</v>
      </c>
      <c r="G103" s="342">
        <v>174752342.15000001</v>
      </c>
      <c r="H103" s="342">
        <v>38900</v>
      </c>
      <c r="I103" s="342">
        <v>473201966.56</v>
      </c>
      <c r="J103" s="342">
        <v>345571777.68000001</v>
      </c>
      <c r="K103" s="342">
        <v>521078192.32999998</v>
      </c>
      <c r="L103" s="119">
        <f>M103+N103+O103-L104</f>
        <v>297695551.90999997</v>
      </c>
      <c r="M103" s="342">
        <v>167280207.22</v>
      </c>
      <c r="N103" s="342">
        <v>130376444.69</v>
      </c>
      <c r="O103" s="342">
        <v>38900</v>
      </c>
      <c r="P103" s="32">
        <f t="shared" si="65"/>
        <v>751.43583930999989</v>
      </c>
      <c r="Q103" s="32">
        <f t="shared" si="66"/>
        <v>686.78139899999996</v>
      </c>
      <c r="R103" s="32">
        <f>E103/1000000</f>
        <v>426.74955531000001</v>
      </c>
      <c r="S103" s="32">
        <f>F103/1000000</f>
        <v>251.95831315999999</v>
      </c>
      <c r="T103" s="32">
        <f t="shared" si="67"/>
        <v>174.75234215</v>
      </c>
      <c r="U103" s="32">
        <f t="shared" si="68"/>
        <v>3.8899999999999997E-2</v>
      </c>
      <c r="V103" s="32">
        <f t="shared" si="69"/>
        <v>473.20196656000002</v>
      </c>
      <c r="W103" s="32">
        <f t="shared" si="70"/>
        <v>521.07819232999998</v>
      </c>
      <c r="X103" s="32">
        <f>L103/1000000</f>
        <v>297.69555190999995</v>
      </c>
      <c r="Y103" s="32">
        <f>M103/1000000</f>
        <v>167.28020721999999</v>
      </c>
      <c r="Z103" s="32">
        <f t="shared" si="71"/>
        <v>130.37644469</v>
      </c>
      <c r="AA103" s="32">
        <f t="shared" si="72"/>
        <v>3.8899999999999997E-2</v>
      </c>
      <c r="AB103" s="32">
        <f t="shared" si="73"/>
        <v>62.973036659325963</v>
      </c>
      <c r="AC103" s="32">
        <f t="shared" si="74"/>
        <v>75.872496414248403</v>
      </c>
      <c r="AD103" s="32">
        <f>X103/R103%</f>
        <v>69.758842910509316</v>
      </c>
      <c r="AE103" s="32">
        <f>Y103/S103%</f>
        <v>66.392017442096773</v>
      </c>
      <c r="AF103" s="32">
        <f t="shared" ref="AF103:AF104" si="75">Z103/T103%</f>
        <v>74.606407608597536</v>
      </c>
      <c r="AG103" s="34">
        <f>AA103/U103%</f>
        <v>100</v>
      </c>
      <c r="AH103" s="40"/>
    </row>
    <row r="104" spans="1:34" s="275" customFormat="1" hidden="1" x14ac:dyDescent="0.25">
      <c r="A104" s="272" t="s">
        <v>73</v>
      </c>
      <c r="B104" s="339">
        <v>73466885</v>
      </c>
      <c r="C104" s="339">
        <v>362095115</v>
      </c>
      <c r="D104" s="339">
        <v>435562000</v>
      </c>
      <c r="E104" s="330">
        <f>F104+G104+H104</f>
        <v>0</v>
      </c>
      <c r="F104" s="339">
        <v>0</v>
      </c>
      <c r="G104" s="339">
        <v>0</v>
      </c>
      <c r="H104" s="339">
        <v>0</v>
      </c>
      <c r="I104" s="339">
        <v>0</v>
      </c>
      <c r="J104" s="339">
        <v>345571777.68000001</v>
      </c>
      <c r="K104" s="339">
        <v>345571777.68000001</v>
      </c>
      <c r="L104" s="330">
        <f>M104+N104+O104</f>
        <v>0</v>
      </c>
      <c r="M104" s="339">
        <v>0</v>
      </c>
      <c r="N104" s="339">
        <v>0</v>
      </c>
      <c r="O104" s="339">
        <v>0</v>
      </c>
      <c r="P104" s="273">
        <f t="shared" si="65"/>
        <v>73.466885000000005</v>
      </c>
      <c r="Q104" s="273">
        <f t="shared" si="66"/>
        <v>435.56200000000001</v>
      </c>
      <c r="R104" s="273"/>
      <c r="S104" s="273"/>
      <c r="T104" s="273">
        <f t="shared" si="67"/>
        <v>0</v>
      </c>
      <c r="U104" s="273">
        <f t="shared" si="68"/>
        <v>0</v>
      </c>
      <c r="V104" s="273">
        <f t="shared" si="69"/>
        <v>0</v>
      </c>
      <c r="W104" s="273">
        <f t="shared" si="70"/>
        <v>345.57177768000003</v>
      </c>
      <c r="X104" s="273"/>
      <c r="Y104" s="273"/>
      <c r="Z104" s="273">
        <f t="shared" si="71"/>
        <v>0</v>
      </c>
      <c r="AA104" s="273">
        <f t="shared" si="72"/>
        <v>0</v>
      </c>
      <c r="AB104" s="273">
        <f t="shared" si="73"/>
        <v>0</v>
      </c>
      <c r="AC104" s="273">
        <f t="shared" si="74"/>
        <v>79.339285263636413</v>
      </c>
      <c r="AD104" s="273"/>
      <c r="AE104" s="273"/>
      <c r="AF104" s="273" t="e">
        <f t="shared" si="75"/>
        <v>#DIV/0!</v>
      </c>
      <c r="AG104" s="274"/>
      <c r="AH104" s="341"/>
    </row>
    <row r="105" spans="1:34" s="42" customFormat="1" x14ac:dyDescent="0.25">
      <c r="A105" s="107" t="s">
        <v>87</v>
      </c>
      <c r="B105" s="36">
        <v>2991453470.21</v>
      </c>
      <c r="C105" s="36">
        <v>532735613.13</v>
      </c>
      <c r="D105" s="36">
        <v>1298197160.98</v>
      </c>
      <c r="E105" s="119">
        <f>F105+G105+H105-E106</f>
        <v>2071029637.0700002</v>
      </c>
      <c r="F105" s="36">
        <v>789653852.63</v>
      </c>
      <c r="G105" s="36">
        <v>1001026144.75</v>
      </c>
      <c r="H105" s="36">
        <v>435311924.98000002</v>
      </c>
      <c r="I105" s="36">
        <v>2142703058.47</v>
      </c>
      <c r="J105" s="36">
        <v>290380729.64999998</v>
      </c>
      <c r="K105" s="36">
        <v>879878327.10000002</v>
      </c>
      <c r="L105" s="119">
        <f>M105+N105+O105-L106</f>
        <v>1458124277.01</v>
      </c>
      <c r="M105" s="36">
        <v>562350828.40999997</v>
      </c>
      <c r="N105" s="36">
        <v>714645621.82000005</v>
      </c>
      <c r="O105" s="36">
        <v>276209010.78999996</v>
      </c>
      <c r="P105" s="38">
        <f t="shared" si="26"/>
        <v>2991.45347021</v>
      </c>
      <c r="Q105" s="38">
        <f t="shared" si="32"/>
        <v>1298.19716098</v>
      </c>
      <c r="R105" s="38">
        <f>E105/1000000</f>
        <v>2071.0296370700003</v>
      </c>
      <c r="S105" s="38">
        <f>F105/1000000</f>
        <v>789.65385262999996</v>
      </c>
      <c r="T105" s="38">
        <f t="shared" si="29"/>
        <v>1001.02614475</v>
      </c>
      <c r="U105" s="38">
        <f t="shared" si="29"/>
        <v>435.31192498000001</v>
      </c>
      <c r="V105" s="38">
        <f t="shared" si="29"/>
        <v>2142.7030584700001</v>
      </c>
      <c r="W105" s="38">
        <f t="shared" si="24"/>
        <v>879.87832709999998</v>
      </c>
      <c r="X105" s="38">
        <f>L105/1000000</f>
        <v>1458.12427701</v>
      </c>
      <c r="Y105" s="38">
        <f>M105/1000000</f>
        <v>562.35082840999996</v>
      </c>
      <c r="Z105" s="38">
        <f t="shared" si="24"/>
        <v>714.64562182000009</v>
      </c>
      <c r="AA105" s="38">
        <f t="shared" si="24"/>
        <v>276.20901078999998</v>
      </c>
      <c r="AB105" s="38">
        <f t="shared" si="40"/>
        <v>71.62749077690259</v>
      </c>
      <c r="AC105" s="38">
        <f t="shared" si="33"/>
        <v>67.77694124949295</v>
      </c>
      <c r="AD105" s="38">
        <f>X105/R105%</f>
        <v>70.40576585243312</v>
      </c>
      <c r="AE105" s="38">
        <f>Y105/S105%</f>
        <v>71.214852753146118</v>
      </c>
      <c r="AF105" s="38">
        <f t="shared" si="39"/>
        <v>71.391304369825264</v>
      </c>
      <c r="AG105" s="39">
        <f>AA105/U105%</f>
        <v>63.450825704508361</v>
      </c>
      <c r="AH105" s="40"/>
    </row>
    <row r="106" spans="1:34" s="275" customFormat="1" hidden="1" x14ac:dyDescent="0.25">
      <c r="A106" s="324" t="s">
        <v>67</v>
      </c>
      <c r="B106" s="339">
        <v>604500</v>
      </c>
      <c r="C106" s="339">
        <v>532735613.13</v>
      </c>
      <c r="D106" s="339">
        <v>378377827.83999997</v>
      </c>
      <c r="E106" s="330">
        <f>F106+G106+H106</f>
        <v>154962285.29000002</v>
      </c>
      <c r="F106" s="339">
        <v>0</v>
      </c>
      <c r="G106" s="339">
        <v>76278185.290000007</v>
      </c>
      <c r="H106" s="339">
        <v>78684100</v>
      </c>
      <c r="I106" s="339">
        <v>1586700</v>
      </c>
      <c r="J106" s="339">
        <v>290380729.64999998</v>
      </c>
      <c r="K106" s="339">
        <v>196886245.63999999</v>
      </c>
      <c r="L106" s="330">
        <f>M106+N106+O106</f>
        <v>95081184.00999999</v>
      </c>
      <c r="M106" s="339">
        <v>0</v>
      </c>
      <c r="N106" s="339">
        <v>41023205.960000001</v>
      </c>
      <c r="O106" s="339">
        <v>54057978.049999997</v>
      </c>
      <c r="P106" s="273">
        <f t="shared" si="26"/>
        <v>0.60450000000000004</v>
      </c>
      <c r="Q106" s="273">
        <f t="shared" si="32"/>
        <v>378.37782783999995</v>
      </c>
      <c r="R106" s="273"/>
      <c r="S106" s="273"/>
      <c r="T106" s="273">
        <f t="shared" si="29"/>
        <v>76.27818529000001</v>
      </c>
      <c r="U106" s="273">
        <f t="shared" si="29"/>
        <v>78.684100000000001</v>
      </c>
      <c r="V106" s="273"/>
      <c r="W106" s="273">
        <f t="shared" si="24"/>
        <v>196.88624564</v>
      </c>
      <c r="X106" s="273"/>
      <c r="Y106" s="273"/>
      <c r="Z106" s="273">
        <f t="shared" si="24"/>
        <v>41.023205959999999</v>
      </c>
      <c r="AA106" s="273">
        <f t="shared" si="24"/>
        <v>54.057978049999996</v>
      </c>
      <c r="AB106" s="273"/>
      <c r="AC106" s="273">
        <f t="shared" si="33"/>
        <v>52.034297771605928</v>
      </c>
      <c r="AD106" s="273"/>
      <c r="AE106" s="273"/>
      <c r="AF106" s="273">
        <f t="shared" si="39"/>
        <v>53.781046054038853</v>
      </c>
      <c r="AG106" s="340">
        <f t="shared" si="39"/>
        <v>68.702543525311967</v>
      </c>
      <c r="AH106" s="341"/>
    </row>
    <row r="107" spans="1:34" s="42" customFormat="1" x14ac:dyDescent="0.25">
      <c r="A107" s="107" t="s">
        <v>88</v>
      </c>
      <c r="B107" s="36">
        <v>4891652032.2399998</v>
      </c>
      <c r="C107" s="36">
        <v>0</v>
      </c>
      <c r="D107" s="36">
        <v>4891254472.2399998</v>
      </c>
      <c r="E107" s="119">
        <f>F107+G107+H107-E108</f>
        <v>397560</v>
      </c>
      <c r="F107" s="36">
        <v>140060</v>
      </c>
      <c r="G107" s="36">
        <v>257500</v>
      </c>
      <c r="H107" s="36">
        <v>0</v>
      </c>
      <c r="I107" s="36">
        <v>3419528822.7800002</v>
      </c>
      <c r="J107" s="36">
        <v>0</v>
      </c>
      <c r="K107" s="36">
        <v>3419224229.21</v>
      </c>
      <c r="L107" s="119">
        <f>M107+N107+O107-L108</f>
        <v>304593.57</v>
      </c>
      <c r="M107" s="36">
        <v>47093.57</v>
      </c>
      <c r="N107" s="36">
        <v>257500</v>
      </c>
      <c r="O107" s="36">
        <v>0</v>
      </c>
      <c r="P107" s="38">
        <f t="shared" si="26"/>
        <v>4891.6520322400002</v>
      </c>
      <c r="Q107" s="38">
        <f t="shared" si="32"/>
        <v>4891.2544722399998</v>
      </c>
      <c r="R107" s="38">
        <f>E107/1000000</f>
        <v>0.39756000000000002</v>
      </c>
      <c r="S107" s="38">
        <f>F107/1000000</f>
        <v>0.14005999999999999</v>
      </c>
      <c r="T107" s="38">
        <f>G107/1000000</f>
        <v>0.25750000000000001</v>
      </c>
      <c r="U107" s="38">
        <f>H107/1000000</f>
        <v>0</v>
      </c>
      <c r="V107" s="38">
        <f t="shared" si="29"/>
        <v>3419.5288227800002</v>
      </c>
      <c r="W107" s="38">
        <f t="shared" si="24"/>
        <v>3419.22422921</v>
      </c>
      <c r="X107" s="38">
        <f t="shared" si="24"/>
        <v>0.30459356999999998</v>
      </c>
      <c r="Y107" s="38">
        <f t="shared" si="24"/>
        <v>4.7093570000000001E-2</v>
      </c>
      <c r="Z107" s="38">
        <f t="shared" si="24"/>
        <v>0.25750000000000001</v>
      </c>
      <c r="AA107" s="38">
        <f t="shared" si="24"/>
        <v>0</v>
      </c>
      <c r="AB107" s="38">
        <f t="shared" si="40"/>
        <v>69.905398017735109</v>
      </c>
      <c r="AC107" s="38">
        <f t="shared" si="33"/>
        <v>69.904852602038744</v>
      </c>
      <c r="AD107" s="38">
        <f>X107/R107%</f>
        <v>76.61574856625414</v>
      </c>
      <c r="AE107" s="38">
        <f>Y107/S107%</f>
        <v>33.62385406254463</v>
      </c>
      <c r="AF107" s="38">
        <f t="shared" si="39"/>
        <v>100</v>
      </c>
      <c r="AG107" s="116" t="s">
        <v>30</v>
      </c>
      <c r="AH107" s="117"/>
    </row>
    <row r="108" spans="1:34" s="275" customFormat="1" hidden="1" x14ac:dyDescent="0.25">
      <c r="A108" s="324" t="s">
        <v>67</v>
      </c>
      <c r="B108" s="339"/>
      <c r="C108" s="339"/>
      <c r="D108" s="339"/>
      <c r="E108" s="330">
        <f>F108+G108+H108</f>
        <v>0</v>
      </c>
      <c r="F108" s="350"/>
      <c r="G108" s="351"/>
      <c r="H108" s="351"/>
      <c r="I108" s="351"/>
      <c r="J108" s="351"/>
      <c r="K108" s="351"/>
      <c r="L108" s="330">
        <f>M108+N108+O108</f>
        <v>0</v>
      </c>
      <c r="M108" s="339"/>
      <c r="N108" s="339"/>
      <c r="O108" s="339"/>
      <c r="P108" s="273">
        <v>0</v>
      </c>
      <c r="Q108" s="273">
        <f t="shared" si="32"/>
        <v>0</v>
      </c>
      <c r="R108" s="273"/>
      <c r="S108" s="273">
        <f t="shared" ref="R108:T109" si="76">F108/1000000</f>
        <v>0</v>
      </c>
      <c r="T108" s="273">
        <f t="shared" si="76"/>
        <v>0</v>
      </c>
      <c r="U108" s="273">
        <f>H108/1000000</f>
        <v>0</v>
      </c>
      <c r="V108" s="273">
        <f t="shared" si="29"/>
        <v>0</v>
      </c>
      <c r="W108" s="273">
        <f t="shared" si="24"/>
        <v>0</v>
      </c>
      <c r="X108" s="273"/>
      <c r="Y108" s="273">
        <f t="shared" si="24"/>
        <v>0</v>
      </c>
      <c r="Z108" s="273">
        <f t="shared" si="24"/>
        <v>0</v>
      </c>
      <c r="AA108" s="332">
        <f t="shared" si="24"/>
        <v>0</v>
      </c>
      <c r="AB108" s="273"/>
      <c r="AC108" s="273" t="e">
        <f t="shared" si="33"/>
        <v>#DIV/0!</v>
      </c>
      <c r="AD108" s="273"/>
      <c r="AE108" s="273"/>
      <c r="AF108" s="273"/>
      <c r="AG108" s="340"/>
      <c r="AH108" s="341"/>
    </row>
    <row r="109" spans="1:34" x14ac:dyDescent="0.25">
      <c r="A109" s="115" t="s">
        <v>89</v>
      </c>
      <c r="B109" s="31">
        <v>1808898727</v>
      </c>
      <c r="C109" s="31">
        <v>0</v>
      </c>
      <c r="D109" s="31">
        <v>1808898727</v>
      </c>
      <c r="E109" s="119">
        <f>F109+G109+H109</f>
        <v>0</v>
      </c>
      <c r="F109" s="31">
        <v>0</v>
      </c>
      <c r="G109" s="31">
        <v>0</v>
      </c>
      <c r="H109" s="31">
        <v>0</v>
      </c>
      <c r="I109" s="114">
        <v>1080818021</v>
      </c>
      <c r="J109" s="114">
        <v>0</v>
      </c>
      <c r="K109" s="114">
        <v>1080818021</v>
      </c>
      <c r="L109" s="119">
        <f>M109+N109+O109</f>
        <v>0</v>
      </c>
      <c r="M109" s="114">
        <v>0</v>
      </c>
      <c r="N109" s="114">
        <v>0</v>
      </c>
      <c r="O109" s="114">
        <v>0</v>
      </c>
      <c r="P109" s="32">
        <f>B109/1000000</f>
        <v>1808.898727</v>
      </c>
      <c r="Q109" s="32">
        <f t="shared" si="32"/>
        <v>1808.898727</v>
      </c>
      <c r="R109" s="32">
        <f t="shared" si="76"/>
        <v>0</v>
      </c>
      <c r="S109" s="32">
        <f t="shared" si="76"/>
        <v>0</v>
      </c>
      <c r="T109" s="32">
        <f t="shared" si="76"/>
        <v>0</v>
      </c>
      <c r="U109" s="32">
        <f>H109/1000000</f>
        <v>0</v>
      </c>
      <c r="V109" s="32">
        <f t="shared" si="29"/>
        <v>1080.818021</v>
      </c>
      <c r="W109" s="32">
        <f t="shared" si="24"/>
        <v>1080.818021</v>
      </c>
      <c r="X109" s="32">
        <f t="shared" si="24"/>
        <v>0</v>
      </c>
      <c r="Y109" s="32">
        <f t="shared" si="24"/>
        <v>0</v>
      </c>
      <c r="Z109" s="32">
        <f>N109/1000000</f>
        <v>0</v>
      </c>
      <c r="AA109" s="32">
        <f t="shared" si="24"/>
        <v>0</v>
      </c>
      <c r="AB109" s="32">
        <f t="shared" si="40"/>
        <v>59.750057030141299</v>
      </c>
      <c r="AC109" s="32">
        <f t="shared" si="33"/>
        <v>59.750057030141299</v>
      </c>
      <c r="AD109" s="54" t="s">
        <v>30</v>
      </c>
      <c r="AE109" s="54" t="s">
        <v>30</v>
      </c>
      <c r="AF109" s="54" t="s">
        <v>30</v>
      </c>
      <c r="AG109" s="50" t="s">
        <v>30</v>
      </c>
      <c r="AH109" s="80"/>
    </row>
    <row r="110" spans="1:34" x14ac:dyDescent="0.25">
      <c r="A110" s="115" t="s">
        <v>90</v>
      </c>
      <c r="B110" s="114">
        <v>1601899400</v>
      </c>
      <c r="C110" s="114">
        <v>0</v>
      </c>
      <c r="D110" s="31">
        <v>1601899400</v>
      </c>
      <c r="E110" s="119">
        <f>F110+G110+H110</f>
        <v>0</v>
      </c>
      <c r="F110" s="114">
        <v>0</v>
      </c>
      <c r="G110" s="114">
        <v>0</v>
      </c>
      <c r="H110" s="114">
        <v>0</v>
      </c>
      <c r="I110" s="31">
        <v>1390445131.04</v>
      </c>
      <c r="J110" s="31">
        <v>0</v>
      </c>
      <c r="K110" s="31">
        <v>1390445131.04</v>
      </c>
      <c r="L110" s="119">
        <f>M110+N110+O110</f>
        <v>0</v>
      </c>
      <c r="M110" s="31">
        <v>0</v>
      </c>
      <c r="N110" s="31">
        <v>0</v>
      </c>
      <c r="O110" s="31">
        <v>0</v>
      </c>
      <c r="P110" s="32">
        <f>B110/1000000</f>
        <v>1601.8994</v>
      </c>
      <c r="Q110" s="32">
        <f t="shared" si="32"/>
        <v>1601.8994</v>
      </c>
      <c r="R110" s="32">
        <f t="shared" ref="R110:T111" si="77">E110/1000000</f>
        <v>0</v>
      </c>
      <c r="S110" s="32">
        <f t="shared" si="77"/>
        <v>0</v>
      </c>
      <c r="T110" s="32">
        <f t="shared" si="77"/>
        <v>0</v>
      </c>
      <c r="U110" s="32">
        <f>H110/1000000</f>
        <v>0</v>
      </c>
      <c r="V110" s="32">
        <f>I110/1000000</f>
        <v>1390.44513104</v>
      </c>
      <c r="W110" s="32">
        <f t="shared" si="24"/>
        <v>1390.44513104</v>
      </c>
      <c r="X110" s="32">
        <f t="shared" ref="X110:Y112" si="78">L110/1000000</f>
        <v>0</v>
      </c>
      <c r="Y110" s="32">
        <f t="shared" si="78"/>
        <v>0</v>
      </c>
      <c r="Z110" s="32">
        <f>N110/1000000</f>
        <v>0</v>
      </c>
      <c r="AA110" s="32">
        <f t="shared" si="24"/>
        <v>0</v>
      </c>
      <c r="AB110" s="32">
        <f t="shared" si="40"/>
        <v>86.79977850294469</v>
      </c>
      <c r="AC110" s="32">
        <f t="shared" si="33"/>
        <v>86.79977850294469</v>
      </c>
      <c r="AD110" s="54" t="s">
        <v>30</v>
      </c>
      <c r="AE110" s="54" t="s">
        <v>30</v>
      </c>
      <c r="AF110" s="54" t="s">
        <v>30</v>
      </c>
      <c r="AG110" s="50" t="s">
        <v>30</v>
      </c>
      <c r="AH110" s="80"/>
    </row>
    <row r="111" spans="1:34" hidden="1" x14ac:dyDescent="0.25">
      <c r="A111" s="285" t="s">
        <v>401</v>
      </c>
      <c r="B111" s="114">
        <v>370763031</v>
      </c>
      <c r="C111" s="114">
        <v>0</v>
      </c>
      <c r="D111" s="31">
        <v>370763031</v>
      </c>
      <c r="E111" s="119">
        <f>F111+G111+H111</f>
        <v>0</v>
      </c>
      <c r="F111" s="114">
        <v>0</v>
      </c>
      <c r="G111" s="114">
        <v>0</v>
      </c>
      <c r="H111" s="114">
        <v>0</v>
      </c>
      <c r="I111" s="31">
        <v>215784558.90000001</v>
      </c>
      <c r="J111" s="31">
        <v>0</v>
      </c>
      <c r="K111" s="31">
        <v>215784558.90000001</v>
      </c>
      <c r="L111" s="119">
        <f>M111+N111+O111</f>
        <v>0</v>
      </c>
      <c r="M111" s="31">
        <v>0</v>
      </c>
      <c r="N111" s="31">
        <v>0</v>
      </c>
      <c r="O111" s="31">
        <v>0</v>
      </c>
      <c r="P111" s="32">
        <f>B111/1000000</f>
        <v>370.76303100000001</v>
      </c>
      <c r="Q111" s="32">
        <f t="shared" ref="Q111" si="79">D111/1000000</f>
        <v>370.76303100000001</v>
      </c>
      <c r="R111" s="32">
        <f t="shared" si="77"/>
        <v>0</v>
      </c>
      <c r="S111" s="32">
        <f t="shared" si="77"/>
        <v>0</v>
      </c>
      <c r="T111" s="32">
        <f t="shared" si="77"/>
        <v>0</v>
      </c>
      <c r="U111" s="32">
        <f>H111/1000000</f>
        <v>0</v>
      </c>
      <c r="V111" s="32">
        <f>I111/1000000</f>
        <v>215.78455890000001</v>
      </c>
      <c r="W111" s="32">
        <f t="shared" ref="W111" si="80">K111/1000000</f>
        <v>215.78455890000001</v>
      </c>
      <c r="X111" s="32">
        <f t="shared" si="78"/>
        <v>0</v>
      </c>
      <c r="Y111" s="32">
        <f t="shared" si="78"/>
        <v>0</v>
      </c>
      <c r="Z111" s="32">
        <f>N111/1000000</f>
        <v>0</v>
      </c>
      <c r="AA111" s="32">
        <f t="shared" ref="AA111" si="81">O111/1000000</f>
        <v>0</v>
      </c>
      <c r="AB111" s="32">
        <f t="shared" ref="AB111" si="82">V111/P111%</f>
        <v>58.200128075876044</v>
      </c>
      <c r="AC111" s="32">
        <f t="shared" ref="AC111" si="83">W111/Q111%</f>
        <v>58.200128075876044</v>
      </c>
      <c r="AD111" s="54" t="s">
        <v>30</v>
      </c>
      <c r="AE111" s="54" t="s">
        <v>30</v>
      </c>
      <c r="AF111" s="54" t="s">
        <v>30</v>
      </c>
      <c r="AG111" s="50" t="s">
        <v>30</v>
      </c>
      <c r="AH111" s="80"/>
    </row>
    <row r="112" spans="1:34" ht="13.95" customHeight="1" x14ac:dyDescent="0.25">
      <c r="A112" s="108" t="s">
        <v>91</v>
      </c>
      <c r="B112" s="31">
        <v>789323674.24000001</v>
      </c>
      <c r="C112" s="31">
        <v>0</v>
      </c>
      <c r="D112" s="31">
        <v>788926114.24000001</v>
      </c>
      <c r="E112" s="119">
        <f>F112+G112+H112-E113</f>
        <v>397560</v>
      </c>
      <c r="F112" s="31">
        <v>140060</v>
      </c>
      <c r="G112" s="31">
        <v>257500</v>
      </c>
      <c r="H112" s="31">
        <v>0</v>
      </c>
      <c r="I112" s="31">
        <v>497331061.83999997</v>
      </c>
      <c r="J112" s="31">
        <v>0</v>
      </c>
      <c r="K112" s="31">
        <v>497026468.26999998</v>
      </c>
      <c r="L112" s="119">
        <f>M112+N112+O112-L113</f>
        <v>304593.57</v>
      </c>
      <c r="M112" s="31">
        <v>47093.57</v>
      </c>
      <c r="N112" s="31">
        <v>257500</v>
      </c>
      <c r="O112" s="31">
        <v>0</v>
      </c>
      <c r="P112" s="32">
        <f t="shared" ref="P112:P133" si="84">B112/1000000</f>
        <v>789.32367424000006</v>
      </c>
      <c r="Q112" s="32">
        <f t="shared" ref="Q112:V133" si="85">D112/1000000</f>
        <v>788.92611424000006</v>
      </c>
      <c r="R112" s="32">
        <f>E112/1000000</f>
        <v>0.39756000000000002</v>
      </c>
      <c r="S112" s="32">
        <f>F112/1000000</f>
        <v>0.14005999999999999</v>
      </c>
      <c r="T112" s="32">
        <f t="shared" ref="T112:V130" si="86">G112/1000000</f>
        <v>0.25750000000000001</v>
      </c>
      <c r="U112" s="32">
        <f>H112/1000000</f>
        <v>0</v>
      </c>
      <c r="V112" s="32">
        <f t="shared" ref="V112:V121" si="87">I112/1000000</f>
        <v>497.33106183999996</v>
      </c>
      <c r="W112" s="32">
        <f>K112/1000000</f>
        <v>497.02646826999995</v>
      </c>
      <c r="X112" s="32">
        <f t="shared" si="78"/>
        <v>0.30459356999999998</v>
      </c>
      <c r="Y112" s="32">
        <f t="shared" si="78"/>
        <v>4.7093570000000001E-2</v>
      </c>
      <c r="Z112" s="32">
        <f t="shared" ref="Z112:AA131" si="88">N112/1000000</f>
        <v>0.25750000000000001</v>
      </c>
      <c r="AA112" s="32">
        <f>O112/1000000</f>
        <v>0</v>
      </c>
      <c r="AB112" s="32">
        <f t="shared" si="40"/>
        <v>63.007240004406931</v>
      </c>
      <c r="AC112" s="32">
        <f t="shared" si="33"/>
        <v>63.000382329694183</v>
      </c>
      <c r="AD112" s="32">
        <f>X112/R112%</f>
        <v>76.61574856625414</v>
      </c>
      <c r="AE112" s="32">
        <f>Y112/S112%</f>
        <v>33.62385406254463</v>
      </c>
      <c r="AF112" s="32">
        <f>Z112/T112%</f>
        <v>100</v>
      </c>
      <c r="AG112" s="116" t="s">
        <v>30</v>
      </c>
      <c r="AH112" s="117"/>
    </row>
    <row r="113" spans="1:34" s="275" customFormat="1" hidden="1" x14ac:dyDescent="0.25">
      <c r="A113" s="324" t="s">
        <v>73</v>
      </c>
      <c r="B113" s="328"/>
      <c r="C113" s="328"/>
      <c r="D113" s="328"/>
      <c r="E113" s="330">
        <f>F113+G113+H113</f>
        <v>0</v>
      </c>
      <c r="F113" s="328"/>
      <c r="G113" s="328"/>
      <c r="H113" s="328"/>
      <c r="I113" s="328"/>
      <c r="J113" s="328"/>
      <c r="K113" s="328"/>
      <c r="L113" s="330">
        <f>M113+N113+O113</f>
        <v>0</v>
      </c>
      <c r="M113" s="328"/>
      <c r="N113" s="328"/>
      <c r="O113" s="328"/>
      <c r="P113" s="273">
        <f t="shared" si="84"/>
        <v>0</v>
      </c>
      <c r="Q113" s="273">
        <f t="shared" si="85"/>
        <v>0</v>
      </c>
      <c r="R113" s="273"/>
      <c r="S113" s="273"/>
      <c r="T113" s="273">
        <f t="shared" si="86"/>
        <v>0</v>
      </c>
      <c r="U113" s="273"/>
      <c r="V113" s="273">
        <f t="shared" si="87"/>
        <v>0</v>
      </c>
      <c r="W113" s="273">
        <f>K113/1000000</f>
        <v>0</v>
      </c>
      <c r="X113" s="273"/>
      <c r="Y113" s="273"/>
      <c r="Z113" s="273">
        <f t="shared" si="88"/>
        <v>0</v>
      </c>
      <c r="AA113" s="273"/>
      <c r="AB113" s="273" t="e">
        <f t="shared" si="40"/>
        <v>#DIV/0!</v>
      </c>
      <c r="AC113" s="273" t="e">
        <f t="shared" si="33"/>
        <v>#DIV/0!</v>
      </c>
      <c r="AD113" s="273"/>
      <c r="AE113" s="273"/>
      <c r="AF113" s="273"/>
      <c r="AG113" s="274"/>
      <c r="AH113" s="329"/>
    </row>
    <row r="114" spans="1:34" s="42" customFormat="1" x14ac:dyDescent="0.25">
      <c r="A114" s="107" t="s">
        <v>92</v>
      </c>
      <c r="B114" s="36">
        <v>20793977582.77</v>
      </c>
      <c r="C114" s="36">
        <v>1319923051</v>
      </c>
      <c r="D114" s="36">
        <v>20394182342.18</v>
      </c>
      <c r="E114" s="119">
        <f>F114+G114+H114-E115</f>
        <v>1717714845.5899999</v>
      </c>
      <c r="F114" s="36">
        <v>1197380706.8699999</v>
      </c>
      <c r="G114" s="36">
        <v>510334440.31</v>
      </c>
      <c r="H114" s="36">
        <v>12003144.41</v>
      </c>
      <c r="I114" s="36">
        <v>15217906443.940001</v>
      </c>
      <c r="J114" s="36">
        <v>858000606.00999999</v>
      </c>
      <c r="K114" s="36">
        <v>14965866946.75</v>
      </c>
      <c r="L114" s="119">
        <f>M114+N114+O114-L115</f>
        <v>1109336189.2</v>
      </c>
      <c r="M114" s="36">
        <v>768534447.20000005</v>
      </c>
      <c r="N114" s="36">
        <v>335439624.58999997</v>
      </c>
      <c r="O114" s="36">
        <v>6066031.4100000001</v>
      </c>
      <c r="P114" s="38">
        <f t="shared" si="84"/>
        <v>20793.97758277</v>
      </c>
      <c r="Q114" s="38">
        <f t="shared" si="85"/>
        <v>20394.18234218</v>
      </c>
      <c r="R114" s="38">
        <f>E114/1000000</f>
        <v>1717.7148455899999</v>
      </c>
      <c r="S114" s="38">
        <f>F114/1000000</f>
        <v>1197.3807068699998</v>
      </c>
      <c r="T114" s="38">
        <f t="shared" si="86"/>
        <v>510.33444030999999</v>
      </c>
      <c r="U114" s="38">
        <f>H114/1000000</f>
        <v>12.003144410000001</v>
      </c>
      <c r="V114" s="38">
        <f t="shared" si="87"/>
        <v>15217.906443940001</v>
      </c>
      <c r="W114" s="38">
        <f>K114/1000000</f>
        <v>14965.86694675</v>
      </c>
      <c r="X114" s="38">
        <f>L114/1000000</f>
        <v>1109.3361892</v>
      </c>
      <c r="Y114" s="38">
        <f>M114/1000000</f>
        <v>768.53444720000005</v>
      </c>
      <c r="Z114" s="38">
        <f t="shared" si="88"/>
        <v>335.43962458999999</v>
      </c>
      <c r="AA114" s="38">
        <f t="shared" si="88"/>
        <v>6.0660314099999999</v>
      </c>
      <c r="AB114" s="38">
        <f t="shared" si="40"/>
        <v>73.184201451431974</v>
      </c>
      <c r="AC114" s="38">
        <f t="shared" si="33"/>
        <v>73.383020194916284</v>
      </c>
      <c r="AD114" s="38">
        <f>X114/R114%</f>
        <v>64.582092426345994</v>
      </c>
      <c r="AE114" s="38">
        <f>Y114/S114%</f>
        <v>64.184635913249281</v>
      </c>
      <c r="AF114" s="38">
        <f>Z114/T114%</f>
        <v>65.729372367312493</v>
      </c>
      <c r="AG114" s="39">
        <f>AA114/U114%</f>
        <v>50.537019324255546</v>
      </c>
      <c r="AH114" s="40"/>
    </row>
    <row r="115" spans="1:34" s="275" customFormat="1" hidden="1" x14ac:dyDescent="0.25">
      <c r="A115" s="324" t="s">
        <v>67</v>
      </c>
      <c r="B115" s="328">
        <v>23203605</v>
      </c>
      <c r="C115" s="328">
        <v>1319923051</v>
      </c>
      <c r="D115" s="328">
        <v>1341123210</v>
      </c>
      <c r="E115" s="330">
        <f>F115+G115+H115</f>
        <v>2003446</v>
      </c>
      <c r="F115" s="328">
        <v>0</v>
      </c>
      <c r="G115" s="328">
        <v>2003446</v>
      </c>
      <c r="H115" s="328">
        <v>0</v>
      </c>
      <c r="I115" s="328">
        <v>15186740.050000001</v>
      </c>
      <c r="J115" s="328">
        <v>858000606.00999999</v>
      </c>
      <c r="K115" s="328">
        <v>872483432.06000006</v>
      </c>
      <c r="L115" s="330">
        <f>M115+N115+O115</f>
        <v>703914</v>
      </c>
      <c r="M115" s="328">
        <v>0</v>
      </c>
      <c r="N115" s="328">
        <v>703914</v>
      </c>
      <c r="O115" s="328">
        <v>0</v>
      </c>
      <c r="P115" s="273">
        <f t="shared" si="84"/>
        <v>23.203605</v>
      </c>
      <c r="Q115" s="273">
        <f t="shared" si="85"/>
        <v>1341.12321</v>
      </c>
      <c r="R115" s="273">
        <f>E115/1000000</f>
        <v>2.0034459999999998</v>
      </c>
      <c r="S115" s="273">
        <f>F115/1000000</f>
        <v>0</v>
      </c>
      <c r="T115" s="273">
        <f t="shared" si="86"/>
        <v>2.0034459999999998</v>
      </c>
      <c r="U115" s="273">
        <f>H115/1000000</f>
        <v>0</v>
      </c>
      <c r="V115" s="273">
        <f t="shared" si="87"/>
        <v>15.186740050000001</v>
      </c>
      <c r="W115" s="273">
        <f>K115/1000000</f>
        <v>872.48343206000004</v>
      </c>
      <c r="X115" s="273">
        <f>L115/1000000</f>
        <v>0.70391400000000004</v>
      </c>
      <c r="Y115" s="273">
        <f>M115/1000000</f>
        <v>0</v>
      </c>
      <c r="Z115" s="273">
        <f t="shared" si="88"/>
        <v>0.70391400000000004</v>
      </c>
      <c r="AA115" s="273">
        <f>O115/1000000</f>
        <v>0</v>
      </c>
      <c r="AB115" s="273">
        <f t="shared" si="40"/>
        <v>65.44991629533429</v>
      </c>
      <c r="AC115" s="273">
        <f t="shared" si="33"/>
        <v>65.056172733003407</v>
      </c>
      <c r="AD115" s="273">
        <f>X115/R115%</f>
        <v>35.135162115674703</v>
      </c>
      <c r="AE115" s="273" t="e">
        <f>Y115/S115%</f>
        <v>#DIV/0!</v>
      </c>
      <c r="AF115" s="273">
        <f>Z115/T115%</f>
        <v>35.135162115674703</v>
      </c>
      <c r="AG115" s="274" t="e">
        <f t="shared" ref="AG115" si="89">AA115/U115%</f>
        <v>#DIV/0!</v>
      </c>
      <c r="AH115" s="329"/>
    </row>
    <row r="116" spans="1:34" x14ac:dyDescent="0.25">
      <c r="A116" s="108" t="s">
        <v>93</v>
      </c>
      <c r="B116" s="31">
        <v>1993414164.1800001</v>
      </c>
      <c r="C116" s="31">
        <v>0</v>
      </c>
      <c r="D116" s="31">
        <v>1993385164.1800001</v>
      </c>
      <c r="E116" s="120">
        <f>F116+G116+H116</f>
        <v>29000</v>
      </c>
      <c r="F116" s="31">
        <v>0</v>
      </c>
      <c r="G116" s="31">
        <v>29000</v>
      </c>
      <c r="H116" s="31">
        <v>0</v>
      </c>
      <c r="I116" s="31">
        <v>1445742083.6900001</v>
      </c>
      <c r="J116" s="31">
        <v>0</v>
      </c>
      <c r="K116" s="31">
        <v>1445726083.6900001</v>
      </c>
      <c r="L116" s="120">
        <f>M116+N116+O116</f>
        <v>16000</v>
      </c>
      <c r="M116" s="31">
        <v>0</v>
      </c>
      <c r="N116" s="31">
        <v>16000</v>
      </c>
      <c r="O116" s="31">
        <v>0</v>
      </c>
      <c r="P116" s="32">
        <f t="shared" si="84"/>
        <v>1993.4141641800002</v>
      </c>
      <c r="Q116" s="32">
        <f t="shared" si="85"/>
        <v>1993.3851641800002</v>
      </c>
      <c r="R116" s="32">
        <f t="shared" si="85"/>
        <v>2.9000000000000001E-2</v>
      </c>
      <c r="S116" s="32">
        <f t="shared" si="85"/>
        <v>0</v>
      </c>
      <c r="T116" s="32">
        <f t="shared" si="86"/>
        <v>2.9000000000000001E-2</v>
      </c>
      <c r="U116" s="32">
        <f t="shared" si="86"/>
        <v>0</v>
      </c>
      <c r="V116" s="32">
        <f t="shared" si="87"/>
        <v>1445.7420836900001</v>
      </c>
      <c r="W116" s="32">
        <f t="shared" ref="W116:Y120" si="90">K116/1000000</f>
        <v>1445.72608369</v>
      </c>
      <c r="X116" s="32">
        <f t="shared" si="90"/>
        <v>1.6E-2</v>
      </c>
      <c r="Y116" s="32">
        <f t="shared" si="90"/>
        <v>0</v>
      </c>
      <c r="Z116" s="32">
        <f t="shared" si="88"/>
        <v>1.6E-2</v>
      </c>
      <c r="AA116" s="32">
        <f t="shared" si="88"/>
        <v>0</v>
      </c>
      <c r="AB116" s="32">
        <f t="shared" si="40"/>
        <v>72.525926105512184</v>
      </c>
      <c r="AC116" s="32">
        <f t="shared" si="33"/>
        <v>72.526178566434481</v>
      </c>
      <c r="AD116" s="32">
        <f t="shared" si="33"/>
        <v>55.172413793103452</v>
      </c>
      <c r="AE116" s="54" t="s">
        <v>30</v>
      </c>
      <c r="AF116" s="32">
        <f t="shared" ref="AF116:AG131" si="91">Z116/T116%</f>
        <v>55.172413793103452</v>
      </c>
      <c r="AG116" s="50" t="s">
        <v>30</v>
      </c>
      <c r="AH116" s="30"/>
    </row>
    <row r="117" spans="1:34" x14ac:dyDescent="0.25">
      <c r="A117" s="108" t="s">
        <v>94</v>
      </c>
      <c r="B117" s="31">
        <v>15372886321.25</v>
      </c>
      <c r="C117" s="31">
        <v>629328741</v>
      </c>
      <c r="D117" s="31">
        <v>15170585077</v>
      </c>
      <c r="E117" s="120">
        <f>F117+G117+H117-E118</f>
        <v>829785349.25000012</v>
      </c>
      <c r="F117" s="31">
        <v>622396361.22000003</v>
      </c>
      <c r="G117" s="31">
        <v>205041444.69999999</v>
      </c>
      <c r="H117" s="31">
        <v>4192179.33</v>
      </c>
      <c r="I117" s="31">
        <v>11483093943.02</v>
      </c>
      <c r="J117" s="31">
        <v>333697169.75</v>
      </c>
      <c r="K117" s="31">
        <v>11356791524.030001</v>
      </c>
      <c r="L117" s="120">
        <f>M117+N117+O117-L118</f>
        <v>459454484.73999995</v>
      </c>
      <c r="M117" s="31">
        <v>344634894.45999998</v>
      </c>
      <c r="N117" s="31">
        <v>114141314.94</v>
      </c>
      <c r="O117" s="31">
        <v>1223379.3399999999</v>
      </c>
      <c r="P117" s="32">
        <f t="shared" si="84"/>
        <v>15372.88632125</v>
      </c>
      <c r="Q117" s="32">
        <f t="shared" si="85"/>
        <v>15170.585077</v>
      </c>
      <c r="R117" s="32">
        <f t="shared" si="85"/>
        <v>829.78534925000008</v>
      </c>
      <c r="S117" s="32">
        <f t="shared" si="85"/>
        <v>622.39636122000002</v>
      </c>
      <c r="T117" s="32">
        <f t="shared" si="86"/>
        <v>205.0414447</v>
      </c>
      <c r="U117" s="32">
        <f t="shared" si="86"/>
        <v>4.1921793300000001</v>
      </c>
      <c r="V117" s="32">
        <f t="shared" si="87"/>
        <v>11483.09394302</v>
      </c>
      <c r="W117" s="32">
        <f t="shared" si="90"/>
        <v>11356.791524030001</v>
      </c>
      <c r="X117" s="32">
        <f t="shared" si="90"/>
        <v>459.45448473999994</v>
      </c>
      <c r="Y117" s="32">
        <f t="shared" si="90"/>
        <v>344.63489446</v>
      </c>
      <c r="Z117" s="32">
        <f t="shared" si="88"/>
        <v>114.14131494</v>
      </c>
      <c r="AA117" s="32">
        <f t="shared" si="88"/>
        <v>1.2233793399999999</v>
      </c>
      <c r="AB117" s="32">
        <f t="shared" si="40"/>
        <v>74.697058854503311</v>
      </c>
      <c r="AC117" s="32">
        <f t="shared" si="33"/>
        <v>74.860603374143693</v>
      </c>
      <c r="AD117" s="32">
        <f t="shared" si="33"/>
        <v>55.370281622262546</v>
      </c>
      <c r="AE117" s="32">
        <f t="shared" si="33"/>
        <v>55.372254070454154</v>
      </c>
      <c r="AF117" s="32">
        <f t="shared" si="91"/>
        <v>55.66743596983639</v>
      </c>
      <c r="AG117" s="34">
        <f t="shared" si="91"/>
        <v>29.182419064119564</v>
      </c>
      <c r="AH117" s="30"/>
    </row>
    <row r="118" spans="1:34" s="275" customFormat="1" hidden="1" x14ac:dyDescent="0.25">
      <c r="A118" s="324" t="s">
        <v>67</v>
      </c>
      <c r="B118" s="328">
        <v>78605</v>
      </c>
      <c r="C118" s="328">
        <v>629328741</v>
      </c>
      <c r="D118" s="328">
        <v>627562710</v>
      </c>
      <c r="E118" s="330">
        <f>F118+G118+H118</f>
        <v>1844636</v>
      </c>
      <c r="F118" s="328">
        <v>0</v>
      </c>
      <c r="G118" s="328">
        <v>1844636</v>
      </c>
      <c r="H118" s="328">
        <v>0</v>
      </c>
      <c r="I118" s="328">
        <v>0</v>
      </c>
      <c r="J118" s="328">
        <v>333697169.75</v>
      </c>
      <c r="K118" s="328">
        <v>333152065.75</v>
      </c>
      <c r="L118" s="330">
        <f>M118+N118+O118</f>
        <v>545104</v>
      </c>
      <c r="M118" s="328">
        <v>0</v>
      </c>
      <c r="N118" s="328">
        <v>545104</v>
      </c>
      <c r="O118" s="328">
        <v>0</v>
      </c>
      <c r="P118" s="273">
        <f t="shared" si="84"/>
        <v>7.8604999999999994E-2</v>
      </c>
      <c r="Q118" s="273">
        <f t="shared" si="85"/>
        <v>627.56271000000004</v>
      </c>
      <c r="R118" s="273">
        <f t="shared" si="85"/>
        <v>1.8446359999999999</v>
      </c>
      <c r="S118" s="273">
        <f t="shared" si="85"/>
        <v>0</v>
      </c>
      <c r="T118" s="273">
        <f t="shared" si="86"/>
        <v>1.8446359999999999</v>
      </c>
      <c r="U118" s="273">
        <f t="shared" si="86"/>
        <v>0</v>
      </c>
      <c r="V118" s="273">
        <f t="shared" si="87"/>
        <v>0</v>
      </c>
      <c r="W118" s="273">
        <f t="shared" si="90"/>
        <v>333.15206575000002</v>
      </c>
      <c r="X118" s="273">
        <f t="shared" si="90"/>
        <v>0.54510400000000003</v>
      </c>
      <c r="Y118" s="273">
        <f t="shared" si="90"/>
        <v>0</v>
      </c>
      <c r="Z118" s="273">
        <f t="shared" si="88"/>
        <v>0.54510400000000003</v>
      </c>
      <c r="AA118" s="273">
        <f t="shared" si="88"/>
        <v>0</v>
      </c>
      <c r="AB118" s="273">
        <f t="shared" si="40"/>
        <v>0</v>
      </c>
      <c r="AC118" s="273">
        <f t="shared" si="33"/>
        <v>53.086657387593981</v>
      </c>
      <c r="AD118" s="273">
        <f t="shared" si="33"/>
        <v>29.550762318419466</v>
      </c>
      <c r="AE118" s="273" t="e">
        <f t="shared" si="33"/>
        <v>#DIV/0!</v>
      </c>
      <c r="AF118" s="273">
        <f t="shared" si="91"/>
        <v>29.550762318419466</v>
      </c>
      <c r="AG118" s="274" t="e">
        <f t="shared" si="91"/>
        <v>#DIV/0!</v>
      </c>
      <c r="AH118" s="329"/>
    </row>
    <row r="119" spans="1:34" x14ac:dyDescent="0.25">
      <c r="A119" s="108" t="s">
        <v>95</v>
      </c>
      <c r="B119" s="31">
        <v>3020557694</v>
      </c>
      <c r="C119" s="31">
        <v>552148950</v>
      </c>
      <c r="D119" s="31">
        <v>3006749320</v>
      </c>
      <c r="E119" s="120">
        <f>F119+G119+H119-E120</f>
        <v>565896974</v>
      </c>
      <c r="F119" s="31">
        <v>339647400</v>
      </c>
      <c r="G119" s="31">
        <v>226249574</v>
      </c>
      <c r="H119" s="31">
        <v>60350</v>
      </c>
      <c r="I119" s="31">
        <v>2011782701.26</v>
      </c>
      <c r="J119" s="31">
        <v>428487819.62</v>
      </c>
      <c r="K119" s="31">
        <v>2004001093.29</v>
      </c>
      <c r="L119" s="120">
        <f>M119+N119+O119-L120</f>
        <v>436209077.58999997</v>
      </c>
      <c r="M119" s="31">
        <v>269115012.19999999</v>
      </c>
      <c r="N119" s="31">
        <v>167094065.38999999</v>
      </c>
      <c r="O119" s="31">
        <v>60350</v>
      </c>
      <c r="P119" s="32">
        <f t="shared" si="84"/>
        <v>3020.5576940000001</v>
      </c>
      <c r="Q119" s="32">
        <f t="shared" si="85"/>
        <v>3006.7493199999999</v>
      </c>
      <c r="R119" s="32">
        <f t="shared" si="85"/>
        <v>565.896974</v>
      </c>
      <c r="S119" s="32">
        <f t="shared" si="85"/>
        <v>339.6474</v>
      </c>
      <c r="T119" s="32">
        <f t="shared" si="86"/>
        <v>226.249574</v>
      </c>
      <c r="U119" s="32">
        <f t="shared" si="86"/>
        <v>6.0350000000000001E-2</v>
      </c>
      <c r="V119" s="32">
        <f t="shared" si="87"/>
        <v>2011.7827012600001</v>
      </c>
      <c r="W119" s="32">
        <f t="shared" si="90"/>
        <v>2004.00109329</v>
      </c>
      <c r="X119" s="32">
        <f t="shared" si="90"/>
        <v>436.20907758999999</v>
      </c>
      <c r="Y119" s="32">
        <f t="shared" si="90"/>
        <v>269.11501219999997</v>
      </c>
      <c r="Z119" s="32">
        <f t="shared" si="88"/>
        <v>167.09406539</v>
      </c>
      <c r="AA119" s="32">
        <f t="shared" si="88"/>
        <v>6.0350000000000001E-2</v>
      </c>
      <c r="AB119" s="32">
        <f t="shared" si="40"/>
        <v>66.603021861035174</v>
      </c>
      <c r="AC119" s="32">
        <f t="shared" si="33"/>
        <v>66.650088850439985</v>
      </c>
      <c r="AD119" s="32">
        <f t="shared" si="33"/>
        <v>77.082772594928201</v>
      </c>
      <c r="AE119" s="32">
        <f t="shared" si="33"/>
        <v>79.233644126232079</v>
      </c>
      <c r="AF119" s="32">
        <f t="shared" si="91"/>
        <v>73.853869616567764</v>
      </c>
      <c r="AG119" s="34">
        <f t="shared" si="91"/>
        <v>100</v>
      </c>
      <c r="AH119" s="30"/>
    </row>
    <row r="120" spans="1:34" s="275" customFormat="1" hidden="1" x14ac:dyDescent="0.25">
      <c r="A120" s="324" t="s">
        <v>67</v>
      </c>
      <c r="B120" s="328">
        <v>0</v>
      </c>
      <c r="C120" s="328">
        <v>552148950</v>
      </c>
      <c r="D120" s="328">
        <v>552088600</v>
      </c>
      <c r="E120" s="330">
        <f>F120+G120+H120</f>
        <v>60350</v>
      </c>
      <c r="F120" s="328">
        <v>0</v>
      </c>
      <c r="G120" s="328">
        <v>60350</v>
      </c>
      <c r="H120" s="328">
        <v>0</v>
      </c>
      <c r="I120" s="328">
        <v>0</v>
      </c>
      <c r="J120" s="328">
        <v>428487819.62</v>
      </c>
      <c r="K120" s="328">
        <v>428427469.62</v>
      </c>
      <c r="L120" s="330">
        <f>M120+N120+O120</f>
        <v>60350</v>
      </c>
      <c r="M120" s="328">
        <v>0</v>
      </c>
      <c r="N120" s="328">
        <v>60350</v>
      </c>
      <c r="O120" s="328">
        <v>0</v>
      </c>
      <c r="P120" s="273">
        <f t="shared" si="84"/>
        <v>0</v>
      </c>
      <c r="Q120" s="273">
        <f t="shared" si="85"/>
        <v>552.08860000000004</v>
      </c>
      <c r="R120" s="273">
        <f t="shared" si="85"/>
        <v>6.0350000000000001E-2</v>
      </c>
      <c r="S120" s="273">
        <f t="shared" si="85"/>
        <v>0</v>
      </c>
      <c r="T120" s="273">
        <f t="shared" si="86"/>
        <v>6.0350000000000001E-2</v>
      </c>
      <c r="U120" s="273">
        <f t="shared" si="86"/>
        <v>0</v>
      </c>
      <c r="V120" s="273">
        <f t="shared" si="87"/>
        <v>0</v>
      </c>
      <c r="W120" s="273">
        <f t="shared" si="90"/>
        <v>428.42746962000001</v>
      </c>
      <c r="X120" s="273">
        <f t="shared" si="90"/>
        <v>6.0350000000000001E-2</v>
      </c>
      <c r="Y120" s="273">
        <f t="shared" si="90"/>
        <v>0</v>
      </c>
      <c r="Z120" s="273">
        <f t="shared" si="88"/>
        <v>6.0350000000000001E-2</v>
      </c>
      <c r="AA120" s="273">
        <f t="shared" si="88"/>
        <v>0</v>
      </c>
      <c r="AB120" s="273" t="e">
        <f t="shared" si="40"/>
        <v>#DIV/0!</v>
      </c>
      <c r="AC120" s="273">
        <f t="shared" si="33"/>
        <v>77.601216475036793</v>
      </c>
      <c r="AD120" s="273">
        <f t="shared" si="33"/>
        <v>100</v>
      </c>
      <c r="AE120" s="273" t="e">
        <f t="shared" si="33"/>
        <v>#DIV/0!</v>
      </c>
      <c r="AF120" s="273">
        <f t="shared" si="91"/>
        <v>100</v>
      </c>
      <c r="AG120" s="274" t="e">
        <f t="shared" si="91"/>
        <v>#DIV/0!</v>
      </c>
      <c r="AH120" s="329"/>
    </row>
    <row r="121" spans="1:34" s="42" customFormat="1" x14ac:dyDescent="0.25">
      <c r="A121" s="107" t="s">
        <v>96</v>
      </c>
      <c r="B121" s="36">
        <v>501647429.23000002</v>
      </c>
      <c r="C121" s="36">
        <v>16148612</v>
      </c>
      <c r="D121" s="36">
        <v>394706310.07999998</v>
      </c>
      <c r="E121" s="119">
        <f>F121+G121+H121-E122</f>
        <v>119262663.15000001</v>
      </c>
      <c r="F121" s="36">
        <v>92668196</v>
      </c>
      <c r="G121" s="36">
        <v>20224256.149999999</v>
      </c>
      <c r="H121" s="36">
        <v>10197279</v>
      </c>
      <c r="I121" s="36">
        <v>378673342.49000001</v>
      </c>
      <c r="J121" s="36">
        <v>13123413</v>
      </c>
      <c r="K121" s="36">
        <v>310454745.73000002</v>
      </c>
      <c r="L121" s="119">
        <f>M121+N121+O121-L122</f>
        <v>77924789.75999999</v>
      </c>
      <c r="M121" s="36">
        <v>61288357.979999997</v>
      </c>
      <c r="N121" s="36">
        <v>12380107.51</v>
      </c>
      <c r="O121" s="36">
        <v>7673544.2699999996</v>
      </c>
      <c r="P121" s="38">
        <f t="shared" si="84"/>
        <v>501.64742923</v>
      </c>
      <c r="Q121" s="38">
        <f t="shared" si="85"/>
        <v>394.70631007999998</v>
      </c>
      <c r="R121" s="38">
        <f>E121/1000000</f>
        <v>119.26266315000001</v>
      </c>
      <c r="S121" s="38">
        <f>F121/1000000</f>
        <v>92.668195999999995</v>
      </c>
      <c r="T121" s="38">
        <f t="shared" si="86"/>
        <v>20.224256149999999</v>
      </c>
      <c r="U121" s="38">
        <f>H121/1000000</f>
        <v>10.197279</v>
      </c>
      <c r="V121" s="38">
        <f t="shared" si="87"/>
        <v>378.67334248999998</v>
      </c>
      <c r="W121" s="38">
        <f>K121/1000000</f>
        <v>310.45474573000001</v>
      </c>
      <c r="X121" s="38">
        <f>L121/1000000</f>
        <v>77.924789759999996</v>
      </c>
      <c r="Y121" s="38">
        <f>M121/1000000</f>
        <v>61.288357979999994</v>
      </c>
      <c r="Z121" s="38">
        <f t="shared" si="88"/>
        <v>12.38010751</v>
      </c>
      <c r="AA121" s="38">
        <f t="shared" si="88"/>
        <v>7.6735442699999998</v>
      </c>
      <c r="AB121" s="38">
        <f t="shared" si="40"/>
        <v>75.485952967254676</v>
      </c>
      <c r="AC121" s="38">
        <f t="shared" si="33"/>
        <v>78.654619346489881</v>
      </c>
      <c r="AD121" s="38">
        <f>X121/R121%</f>
        <v>65.338797325020153</v>
      </c>
      <c r="AE121" s="38">
        <f>Y121/S121%</f>
        <v>66.137424300350034</v>
      </c>
      <c r="AF121" s="38">
        <f t="shared" si="91"/>
        <v>61.214155013557829</v>
      </c>
      <c r="AG121" s="39">
        <f t="shared" si="91"/>
        <v>75.2509004607994</v>
      </c>
      <c r="AH121" s="40"/>
    </row>
    <row r="122" spans="1:34" s="275" customFormat="1" hidden="1" x14ac:dyDescent="0.25">
      <c r="A122" s="324" t="s">
        <v>67</v>
      </c>
      <c r="B122" s="339">
        <v>0</v>
      </c>
      <c r="C122" s="339">
        <v>16148612</v>
      </c>
      <c r="D122" s="339">
        <v>12321544</v>
      </c>
      <c r="E122" s="330">
        <f>F122+G122+H122</f>
        <v>3827068</v>
      </c>
      <c r="F122" s="339">
        <v>0</v>
      </c>
      <c r="G122" s="339">
        <v>2826920</v>
      </c>
      <c r="H122" s="339">
        <v>1000148</v>
      </c>
      <c r="I122" s="339">
        <v>0</v>
      </c>
      <c r="J122" s="339">
        <v>13123413</v>
      </c>
      <c r="K122" s="339">
        <v>9706193</v>
      </c>
      <c r="L122" s="330">
        <f>M122+N122+O122</f>
        <v>3417220</v>
      </c>
      <c r="M122" s="339">
        <v>0</v>
      </c>
      <c r="N122" s="339">
        <v>2826920</v>
      </c>
      <c r="O122" s="339">
        <v>590300</v>
      </c>
      <c r="P122" s="273"/>
      <c r="Q122" s="273">
        <f t="shared" si="85"/>
        <v>12.321543999999999</v>
      </c>
      <c r="R122" s="273"/>
      <c r="S122" s="273"/>
      <c r="T122" s="273">
        <f t="shared" si="86"/>
        <v>2.8269199999999999</v>
      </c>
      <c r="U122" s="273">
        <f t="shared" si="86"/>
        <v>1.000148</v>
      </c>
      <c r="V122" s="273"/>
      <c r="W122" s="273">
        <f t="shared" ref="W122:Y134" si="92">K122/1000000</f>
        <v>9.7061930000000007</v>
      </c>
      <c r="X122" s="273"/>
      <c r="Y122" s="273"/>
      <c r="Z122" s="273">
        <f t="shared" si="88"/>
        <v>2.8269199999999999</v>
      </c>
      <c r="AA122" s="273">
        <f t="shared" si="88"/>
        <v>0.59030000000000005</v>
      </c>
      <c r="AB122" s="273"/>
      <c r="AC122" s="273">
        <f t="shared" si="33"/>
        <v>78.774161744664482</v>
      </c>
      <c r="AD122" s="273"/>
      <c r="AE122" s="273"/>
      <c r="AF122" s="273">
        <f t="shared" si="91"/>
        <v>100</v>
      </c>
      <c r="AG122" s="274">
        <f t="shared" si="91"/>
        <v>59.021264852801792</v>
      </c>
      <c r="AH122" s="329"/>
    </row>
    <row r="123" spans="1:34" s="42" customFormat="1" x14ac:dyDescent="0.25">
      <c r="A123" s="107" t="s">
        <v>97</v>
      </c>
      <c r="B123" s="36">
        <v>84339673.799999997</v>
      </c>
      <c r="C123" s="36">
        <v>0</v>
      </c>
      <c r="D123" s="36">
        <v>61984073.799999997</v>
      </c>
      <c r="E123" s="103">
        <f>F123+G123+H123</f>
        <v>22355600</v>
      </c>
      <c r="F123" s="36">
        <v>22355600</v>
      </c>
      <c r="G123" s="36">
        <v>0</v>
      </c>
      <c r="H123" s="36">
        <v>0</v>
      </c>
      <c r="I123" s="36">
        <v>60353011.07</v>
      </c>
      <c r="J123" s="36">
        <v>0</v>
      </c>
      <c r="K123" s="36">
        <v>42265736.07</v>
      </c>
      <c r="L123" s="103">
        <f>M123+N123+O123</f>
        <v>18087275</v>
      </c>
      <c r="M123" s="36">
        <v>18087275</v>
      </c>
      <c r="N123" s="36">
        <v>0</v>
      </c>
      <c r="O123" s="36">
        <v>0</v>
      </c>
      <c r="P123" s="38">
        <f t="shared" si="84"/>
        <v>84.3396738</v>
      </c>
      <c r="Q123" s="38">
        <f t="shared" si="85"/>
        <v>61.984073799999997</v>
      </c>
      <c r="R123" s="38">
        <f t="shared" si="85"/>
        <v>22.355599999999999</v>
      </c>
      <c r="S123" s="38">
        <f t="shared" si="85"/>
        <v>22.355599999999999</v>
      </c>
      <c r="T123" s="38">
        <f t="shared" si="86"/>
        <v>0</v>
      </c>
      <c r="U123" s="38">
        <f t="shared" si="86"/>
        <v>0</v>
      </c>
      <c r="V123" s="38">
        <f t="shared" si="86"/>
        <v>60.353011070000001</v>
      </c>
      <c r="W123" s="38">
        <f t="shared" si="92"/>
        <v>42.265736070000003</v>
      </c>
      <c r="X123" s="38">
        <f t="shared" si="92"/>
        <v>18.087275000000002</v>
      </c>
      <c r="Y123" s="38">
        <f t="shared" si="92"/>
        <v>18.087275000000002</v>
      </c>
      <c r="Z123" s="38">
        <f t="shared" si="88"/>
        <v>0</v>
      </c>
      <c r="AA123" s="38">
        <f t="shared" si="88"/>
        <v>0</v>
      </c>
      <c r="AB123" s="38">
        <f>V123/P123%</f>
        <v>71.559455177783718</v>
      </c>
      <c r="AC123" s="38">
        <f t="shared" si="33"/>
        <v>68.188057800744303</v>
      </c>
      <c r="AD123" s="38">
        <f>X123/R123%</f>
        <v>80.907132888403822</v>
      </c>
      <c r="AE123" s="38">
        <f>Y123/S123%</f>
        <v>80.907132888403822</v>
      </c>
      <c r="AF123" s="109" t="s">
        <v>30</v>
      </c>
      <c r="AG123" s="116" t="s">
        <v>30</v>
      </c>
      <c r="AH123" s="40"/>
    </row>
    <row r="124" spans="1:34" s="42" customFormat="1" ht="26.4" x14ac:dyDescent="0.25">
      <c r="A124" s="107" t="s">
        <v>98</v>
      </c>
      <c r="B124" s="118">
        <v>2389993552.5</v>
      </c>
      <c r="C124" s="118">
        <v>711466.67</v>
      </c>
      <c r="D124" s="118">
        <v>1824406080.8</v>
      </c>
      <c r="E124" s="103">
        <f>F124+G124+H124</f>
        <v>566298938.37</v>
      </c>
      <c r="F124" s="118">
        <v>512262552.85000002</v>
      </c>
      <c r="G124" s="118">
        <v>49965084.109999999</v>
      </c>
      <c r="H124" s="118">
        <v>4071301.41</v>
      </c>
      <c r="I124" s="36">
        <v>1452363896.4300001</v>
      </c>
      <c r="J124" s="36">
        <v>0</v>
      </c>
      <c r="K124" s="36">
        <v>1217995006.48</v>
      </c>
      <c r="L124" s="103">
        <f>M124+N124+O124</f>
        <v>234368889.95000002</v>
      </c>
      <c r="M124" s="36">
        <v>204178519.19</v>
      </c>
      <c r="N124" s="36">
        <v>28180207.109999999</v>
      </c>
      <c r="O124" s="36">
        <v>2010163.65</v>
      </c>
      <c r="P124" s="38">
        <f t="shared" si="84"/>
        <v>2389.9935525000001</v>
      </c>
      <c r="Q124" s="38">
        <f t="shared" si="85"/>
        <v>1824.4060807999999</v>
      </c>
      <c r="R124" s="38">
        <f t="shared" si="85"/>
        <v>566.29893836999997</v>
      </c>
      <c r="S124" s="38">
        <f t="shared" si="85"/>
        <v>512.26255285000002</v>
      </c>
      <c r="T124" s="38">
        <f t="shared" si="86"/>
        <v>49.965084109999999</v>
      </c>
      <c r="U124" s="38">
        <f t="shared" si="86"/>
        <v>4.0713014100000002</v>
      </c>
      <c r="V124" s="38">
        <f t="shared" si="86"/>
        <v>1452.3638964300001</v>
      </c>
      <c r="W124" s="38">
        <f t="shared" si="92"/>
        <v>1217.99500648</v>
      </c>
      <c r="X124" s="38">
        <f t="shared" si="92"/>
        <v>234.36888995000001</v>
      </c>
      <c r="Y124" s="38">
        <f t="shared" si="92"/>
        <v>204.17851919</v>
      </c>
      <c r="Z124" s="38">
        <f t="shared" si="88"/>
        <v>28.180207109999998</v>
      </c>
      <c r="AA124" s="38">
        <f t="shared" si="88"/>
        <v>2.01016365</v>
      </c>
      <c r="AB124" s="38">
        <f>V124/P124%</f>
        <v>60.768527802545194</v>
      </c>
      <c r="AC124" s="38">
        <f t="shared" si="33"/>
        <v>66.761178845989733</v>
      </c>
      <c r="AD124" s="38">
        <f>X124/R124%</f>
        <v>41.386072632343797</v>
      </c>
      <c r="AE124" s="38">
        <f>Y124/S124%</f>
        <v>39.858177814099804</v>
      </c>
      <c r="AF124" s="38">
        <f t="shared" si="91"/>
        <v>56.399799203700361</v>
      </c>
      <c r="AG124" s="39">
        <f t="shared" si="91"/>
        <v>49.373982605724102</v>
      </c>
      <c r="AH124" s="40"/>
    </row>
    <row r="125" spans="1:34" s="42" customFormat="1" ht="26.4" x14ac:dyDescent="0.25">
      <c r="A125" s="107" t="s">
        <v>99</v>
      </c>
      <c r="B125" s="36">
        <v>2916827.18</v>
      </c>
      <c r="C125" s="36">
        <v>3566338240.73</v>
      </c>
      <c r="D125" s="36">
        <v>3086976782.1999998</v>
      </c>
      <c r="E125" s="119"/>
      <c r="F125" s="36">
        <v>0</v>
      </c>
      <c r="G125" s="36">
        <v>482278285.70999998</v>
      </c>
      <c r="H125" s="36">
        <v>0</v>
      </c>
      <c r="I125" s="36">
        <v>0</v>
      </c>
      <c r="J125" s="36">
        <v>2711916090.6599998</v>
      </c>
      <c r="K125" s="36">
        <v>2342786582.48</v>
      </c>
      <c r="L125" s="119"/>
      <c r="M125" s="36">
        <v>0</v>
      </c>
      <c r="N125" s="36">
        <v>369129508.18000001</v>
      </c>
      <c r="O125" s="36">
        <v>0</v>
      </c>
      <c r="P125" s="38">
        <f t="shared" si="84"/>
        <v>2.9168271800000003</v>
      </c>
      <c r="Q125" s="38">
        <f t="shared" si="85"/>
        <v>3086.9767821999999</v>
      </c>
      <c r="R125" s="38"/>
      <c r="S125" s="38">
        <f t="shared" si="85"/>
        <v>0</v>
      </c>
      <c r="T125" s="38">
        <f t="shared" si="86"/>
        <v>482.27828570999998</v>
      </c>
      <c r="U125" s="38">
        <f t="shared" si="86"/>
        <v>0</v>
      </c>
      <c r="V125" s="38">
        <f t="shared" si="86"/>
        <v>0</v>
      </c>
      <c r="W125" s="38">
        <f t="shared" si="92"/>
        <v>2342.7865824800001</v>
      </c>
      <c r="X125" s="38"/>
      <c r="Y125" s="38">
        <f t="shared" si="92"/>
        <v>0</v>
      </c>
      <c r="Z125" s="38">
        <f t="shared" si="88"/>
        <v>369.12950818000002</v>
      </c>
      <c r="AA125" s="38">
        <f t="shared" si="88"/>
        <v>0</v>
      </c>
      <c r="AB125" s="38">
        <f>V125/P125%</f>
        <v>0</v>
      </c>
      <c r="AC125" s="38">
        <f t="shared" si="33"/>
        <v>75.892588372833927</v>
      </c>
      <c r="AD125" s="109" t="s">
        <v>30</v>
      </c>
      <c r="AE125" s="109" t="s">
        <v>30</v>
      </c>
      <c r="AF125" s="38">
        <f t="shared" si="91"/>
        <v>76.538695420751793</v>
      </c>
      <c r="AG125" s="116" t="s">
        <v>30</v>
      </c>
      <c r="AH125" s="40"/>
    </row>
    <row r="126" spans="1:34" ht="26.4" x14ac:dyDescent="0.25">
      <c r="A126" s="108" t="s">
        <v>100</v>
      </c>
      <c r="B126" s="31">
        <v>0</v>
      </c>
      <c r="C126" s="31">
        <v>1452589251</v>
      </c>
      <c r="D126" s="31">
        <v>1303432100</v>
      </c>
      <c r="E126" s="120"/>
      <c r="F126" s="31">
        <v>0</v>
      </c>
      <c r="G126" s="31">
        <v>149157151</v>
      </c>
      <c r="H126" s="31">
        <v>0</v>
      </c>
      <c r="I126" s="31">
        <v>0</v>
      </c>
      <c r="J126" s="31">
        <v>1119943196.5</v>
      </c>
      <c r="K126" s="31">
        <v>1005335100</v>
      </c>
      <c r="L126" s="120"/>
      <c r="M126" s="31">
        <v>0</v>
      </c>
      <c r="N126" s="31">
        <v>114608096.5</v>
      </c>
      <c r="O126" s="31">
        <v>0</v>
      </c>
      <c r="P126" s="32">
        <f t="shared" si="84"/>
        <v>0</v>
      </c>
      <c r="Q126" s="32">
        <f t="shared" si="85"/>
        <v>1303.4321</v>
      </c>
      <c r="R126" s="32"/>
      <c r="S126" s="32">
        <f t="shared" si="85"/>
        <v>0</v>
      </c>
      <c r="T126" s="32">
        <f t="shared" si="86"/>
        <v>149.157151</v>
      </c>
      <c r="U126" s="32">
        <f t="shared" si="86"/>
        <v>0</v>
      </c>
      <c r="V126" s="32">
        <f>I126/1000000</f>
        <v>0</v>
      </c>
      <c r="W126" s="32">
        <f t="shared" si="92"/>
        <v>1005.3351</v>
      </c>
      <c r="X126" s="32"/>
      <c r="Y126" s="32">
        <f t="shared" si="92"/>
        <v>0</v>
      </c>
      <c r="Z126" s="32">
        <f t="shared" si="88"/>
        <v>114.6080965</v>
      </c>
      <c r="AA126" s="32">
        <f t="shared" si="88"/>
        <v>0</v>
      </c>
      <c r="AB126" s="54" t="s">
        <v>30</v>
      </c>
      <c r="AC126" s="32">
        <f t="shared" si="33"/>
        <v>77.129840518735108</v>
      </c>
      <c r="AD126" s="54" t="s">
        <v>30</v>
      </c>
      <c r="AE126" s="54" t="s">
        <v>30</v>
      </c>
      <c r="AF126" s="32">
        <f t="shared" si="91"/>
        <v>76.837145072581876</v>
      </c>
      <c r="AG126" s="50" t="s">
        <v>30</v>
      </c>
      <c r="AH126" s="80"/>
    </row>
    <row r="127" spans="1:34" x14ac:dyDescent="0.25">
      <c r="A127" s="108" t="s">
        <v>101</v>
      </c>
      <c r="B127" s="31">
        <v>9.66</v>
      </c>
      <c r="C127" s="31">
        <v>268812900</v>
      </c>
      <c r="D127" s="31">
        <v>183419309.66</v>
      </c>
      <c r="E127" s="120"/>
      <c r="F127" s="31">
        <v>0</v>
      </c>
      <c r="G127" s="31">
        <v>85393600</v>
      </c>
      <c r="H127" s="31">
        <v>0</v>
      </c>
      <c r="I127" s="31">
        <v>0</v>
      </c>
      <c r="J127" s="31">
        <v>194310400</v>
      </c>
      <c r="K127" s="31">
        <v>129227300</v>
      </c>
      <c r="L127" s="120"/>
      <c r="M127" s="31">
        <v>0</v>
      </c>
      <c r="N127" s="31">
        <v>65083100</v>
      </c>
      <c r="O127" s="31">
        <v>0</v>
      </c>
      <c r="P127" s="32">
        <f t="shared" si="84"/>
        <v>9.6600000000000007E-6</v>
      </c>
      <c r="Q127" s="32">
        <f t="shared" si="85"/>
        <v>183.41930966000001</v>
      </c>
      <c r="R127" s="32"/>
      <c r="S127" s="32">
        <f t="shared" si="85"/>
        <v>0</v>
      </c>
      <c r="T127" s="32">
        <f t="shared" si="86"/>
        <v>85.393600000000006</v>
      </c>
      <c r="U127" s="32">
        <f t="shared" si="86"/>
        <v>0</v>
      </c>
      <c r="V127" s="32">
        <f t="shared" si="86"/>
        <v>0</v>
      </c>
      <c r="W127" s="32">
        <f t="shared" si="92"/>
        <v>129.22730000000001</v>
      </c>
      <c r="X127" s="32"/>
      <c r="Y127" s="32">
        <f t="shared" si="92"/>
        <v>0</v>
      </c>
      <c r="Z127" s="32">
        <f t="shared" si="88"/>
        <v>65.083100000000002</v>
      </c>
      <c r="AA127" s="32">
        <f t="shared" si="88"/>
        <v>0</v>
      </c>
      <c r="AB127" s="54" t="s">
        <v>30</v>
      </c>
      <c r="AC127" s="32">
        <f t="shared" si="33"/>
        <v>70.45457767753328</v>
      </c>
      <c r="AD127" s="54" t="s">
        <v>30</v>
      </c>
      <c r="AE127" s="54" t="s">
        <v>30</v>
      </c>
      <c r="AF127" s="32">
        <f t="shared" si="91"/>
        <v>76.215430664593129</v>
      </c>
      <c r="AG127" s="50" t="s">
        <v>30</v>
      </c>
      <c r="AH127" s="80"/>
    </row>
    <row r="128" spans="1:34" ht="26.4" x14ac:dyDescent="0.25">
      <c r="A128" s="108" t="s">
        <v>102</v>
      </c>
      <c r="B128" s="31">
        <v>2916817.52</v>
      </c>
      <c r="C128" s="31">
        <v>1844936089.73</v>
      </c>
      <c r="D128" s="31">
        <v>1600125372.54</v>
      </c>
      <c r="E128" s="120"/>
      <c r="F128" s="31">
        <v>0</v>
      </c>
      <c r="G128" s="31">
        <v>247727534.71000001</v>
      </c>
      <c r="H128" s="31">
        <v>0</v>
      </c>
      <c r="I128" s="31">
        <v>0</v>
      </c>
      <c r="J128" s="31">
        <v>1397662494.1600001</v>
      </c>
      <c r="K128" s="31">
        <v>1208224182.48</v>
      </c>
      <c r="L128" s="120"/>
      <c r="M128" s="31">
        <v>0</v>
      </c>
      <c r="N128" s="31">
        <v>189438311.68000001</v>
      </c>
      <c r="O128" s="31">
        <v>0</v>
      </c>
      <c r="P128" s="32">
        <f t="shared" si="84"/>
        <v>2.9168175199999999</v>
      </c>
      <c r="Q128" s="32">
        <f t="shared" si="85"/>
        <v>1600.1253725399999</v>
      </c>
      <c r="R128" s="32"/>
      <c r="S128" s="32">
        <f t="shared" si="85"/>
        <v>0</v>
      </c>
      <c r="T128" s="32">
        <f t="shared" si="86"/>
        <v>247.72753471000001</v>
      </c>
      <c r="U128" s="32">
        <f t="shared" si="86"/>
        <v>0</v>
      </c>
      <c r="V128" s="32">
        <f t="shared" si="86"/>
        <v>0</v>
      </c>
      <c r="W128" s="32">
        <f t="shared" si="92"/>
        <v>1208.2241824800001</v>
      </c>
      <c r="X128" s="32"/>
      <c r="Y128" s="32">
        <f t="shared" si="92"/>
        <v>0</v>
      </c>
      <c r="Z128" s="32">
        <f t="shared" si="88"/>
        <v>189.43831168</v>
      </c>
      <c r="AA128" s="32">
        <f t="shared" si="88"/>
        <v>0</v>
      </c>
      <c r="AB128" s="54" t="s">
        <v>30</v>
      </c>
      <c r="AC128" s="32">
        <f t="shared" si="33"/>
        <v>75.508094753981354</v>
      </c>
      <c r="AD128" s="54" t="s">
        <v>30</v>
      </c>
      <c r="AE128" s="54" t="s">
        <v>30</v>
      </c>
      <c r="AF128" s="32">
        <f t="shared" si="91"/>
        <v>76.47043026596306</v>
      </c>
      <c r="AG128" s="50" t="s">
        <v>30</v>
      </c>
      <c r="AH128" s="30"/>
    </row>
    <row r="129" spans="1:34" s="42" customFormat="1" x14ac:dyDescent="0.25">
      <c r="A129" s="121" t="s">
        <v>103</v>
      </c>
      <c r="B129" s="122">
        <f>B53+B55+B57+B59+B78+B88+B90+B105+B107+B114+B121+B123+B124+B125</f>
        <v>82926619445.439987</v>
      </c>
      <c r="C129" s="122">
        <f>C53+C55+C57+C59+C78+C88+C90+C105+C107+C114+C121+C123+C124+C125</f>
        <v>21094409652.179996</v>
      </c>
      <c r="D129" s="122">
        <f>D53+D55+D57+D59+D78+D88+D90+D105+D107+D114+D121+D123+D124+D125</f>
        <v>68472988543.420006</v>
      </c>
      <c r="E129" s="122">
        <f>E53+E55+E57+E59+E78+E88+E90+E105+E107+E114+E121+E123+E124</f>
        <v>34263997201.000004</v>
      </c>
      <c r="F129" s="122">
        <f t="shared" ref="F129:O129" si="93">F53+F55+F57+F59+F78+F88+F90+F105+F107+F114+F121+F123+F124+F125</f>
        <v>19899388196.949997</v>
      </c>
      <c r="G129" s="122">
        <f t="shared" si="93"/>
        <v>13334946640.529999</v>
      </c>
      <c r="H129" s="122">
        <f t="shared" si="93"/>
        <v>2313705716.7199993</v>
      </c>
      <c r="I129" s="122">
        <f t="shared" si="93"/>
        <v>59227223310.889999</v>
      </c>
      <c r="J129" s="122">
        <f t="shared" si="93"/>
        <v>14775638550.02</v>
      </c>
      <c r="K129" s="122">
        <f t="shared" si="93"/>
        <v>49823714067.76001</v>
      </c>
      <c r="L129" s="122">
        <f t="shared" si="93"/>
        <v>23406471420.34</v>
      </c>
      <c r="M129" s="122">
        <f t="shared" si="93"/>
        <v>13185148029.02</v>
      </c>
      <c r="N129" s="122">
        <f t="shared" si="93"/>
        <v>9652321332.8200016</v>
      </c>
      <c r="O129" s="122">
        <f t="shared" si="93"/>
        <v>1341678431.3100002</v>
      </c>
      <c r="P129" s="86">
        <f t="shared" si="84"/>
        <v>82926.619445439981</v>
      </c>
      <c r="Q129" s="86">
        <f t="shared" si="85"/>
        <v>68472.988543420011</v>
      </c>
      <c r="R129" s="86">
        <f>E129/1000000</f>
        <v>34263.997201000006</v>
      </c>
      <c r="S129" s="86">
        <f>F129/1000000</f>
        <v>19899.388196949996</v>
      </c>
      <c r="T129" s="86">
        <f t="shared" si="86"/>
        <v>13334.946640529999</v>
      </c>
      <c r="U129" s="86">
        <f t="shared" si="86"/>
        <v>2313.7057167199991</v>
      </c>
      <c r="V129" s="86">
        <f t="shared" si="86"/>
        <v>59227.223310889996</v>
      </c>
      <c r="W129" s="86">
        <f t="shared" si="92"/>
        <v>49823.714067760011</v>
      </c>
      <c r="X129" s="86">
        <f t="shared" si="92"/>
        <v>23406.47142034</v>
      </c>
      <c r="Y129" s="86">
        <f t="shared" si="92"/>
        <v>13185.14802902</v>
      </c>
      <c r="Z129" s="86">
        <f t="shared" si="88"/>
        <v>9652.3213328200018</v>
      </c>
      <c r="AA129" s="86">
        <f t="shared" si="88"/>
        <v>1341.6784313100002</v>
      </c>
      <c r="AB129" s="86">
        <f>V129/P129%</f>
        <v>71.421244115536908</v>
      </c>
      <c r="AC129" s="86">
        <f t="shared" si="33"/>
        <v>72.764041891009114</v>
      </c>
      <c r="AD129" s="86">
        <f>X129/R129%</f>
        <v>68.312144911268192</v>
      </c>
      <c r="AE129" s="86">
        <f>Y129/S129%</f>
        <v>66.259062331579131</v>
      </c>
      <c r="AF129" s="86">
        <f t="shared" si="91"/>
        <v>72.383651716182413</v>
      </c>
      <c r="AG129" s="123">
        <f>AA129/U129%</f>
        <v>57.988292184885843</v>
      </c>
      <c r="AH129" s="84"/>
    </row>
    <row r="130" spans="1:34" s="77" customFormat="1" hidden="1" x14ac:dyDescent="0.25">
      <c r="A130" s="124" t="s">
        <v>104</v>
      </c>
      <c r="B130" s="125">
        <f t="shared" ref="B130:O130" si="94">B129-B52</f>
        <v>0</v>
      </c>
      <c r="C130" s="125">
        <f t="shared" si="94"/>
        <v>0</v>
      </c>
      <c r="D130" s="125">
        <f t="shared" si="94"/>
        <v>0</v>
      </c>
      <c r="E130" s="125">
        <f t="shared" si="94"/>
        <v>0</v>
      </c>
      <c r="F130" s="125">
        <f t="shared" si="94"/>
        <v>0</v>
      </c>
      <c r="G130" s="125">
        <f t="shared" si="94"/>
        <v>0</v>
      </c>
      <c r="H130" s="125">
        <f t="shared" si="94"/>
        <v>0</v>
      </c>
      <c r="I130" s="125">
        <f t="shared" si="94"/>
        <v>0</v>
      </c>
      <c r="J130" s="125">
        <f t="shared" si="94"/>
        <v>0</v>
      </c>
      <c r="K130" s="125">
        <f t="shared" si="94"/>
        <v>0</v>
      </c>
      <c r="L130" s="125">
        <f t="shared" si="94"/>
        <v>0</v>
      </c>
      <c r="M130" s="125">
        <f t="shared" si="94"/>
        <v>0</v>
      </c>
      <c r="N130" s="125">
        <f t="shared" si="94"/>
        <v>0</v>
      </c>
      <c r="O130" s="125">
        <f t="shared" si="94"/>
        <v>0</v>
      </c>
      <c r="P130" s="126">
        <f t="shared" si="84"/>
        <v>0</v>
      </c>
      <c r="Q130" s="126">
        <f t="shared" si="85"/>
        <v>0</v>
      </c>
      <c r="R130" s="126">
        <f>E130/1000000</f>
        <v>0</v>
      </c>
      <c r="S130" s="126">
        <f>F130/1000000</f>
        <v>0</v>
      </c>
      <c r="T130" s="126">
        <f t="shared" si="86"/>
        <v>0</v>
      </c>
      <c r="U130" s="126">
        <f t="shared" si="86"/>
        <v>0</v>
      </c>
      <c r="V130" s="126">
        <f t="shared" si="86"/>
        <v>0</v>
      </c>
      <c r="W130" s="126">
        <f t="shared" si="92"/>
        <v>0</v>
      </c>
      <c r="X130" s="126">
        <f t="shared" si="92"/>
        <v>0</v>
      </c>
      <c r="Y130" s="126">
        <f t="shared" si="92"/>
        <v>0</v>
      </c>
      <c r="Z130" s="126">
        <f t="shared" si="88"/>
        <v>0</v>
      </c>
      <c r="AA130" s="126">
        <f t="shared" si="88"/>
        <v>0</v>
      </c>
      <c r="AB130" s="127"/>
      <c r="AC130" s="127"/>
      <c r="AD130" s="127"/>
      <c r="AE130" s="127"/>
      <c r="AF130" s="127"/>
      <c r="AG130" s="128"/>
      <c r="AH130" s="129"/>
    </row>
    <row r="131" spans="1:34" x14ac:dyDescent="0.25">
      <c r="A131" s="130" t="s">
        <v>67</v>
      </c>
      <c r="B131" s="131">
        <v>477598497.89000005</v>
      </c>
      <c r="C131" s="131">
        <v>21093698185.509998</v>
      </c>
      <c r="D131" s="131">
        <v>20287253330.200001</v>
      </c>
      <c r="E131" s="182">
        <f>F131+G131+H131</f>
        <v>1284043353.2</v>
      </c>
      <c r="F131" s="132">
        <v>0</v>
      </c>
      <c r="G131" s="132">
        <v>1190025342.9100001</v>
      </c>
      <c r="H131" s="132">
        <v>94018010.289999992</v>
      </c>
      <c r="I131" s="132">
        <v>16901898.850000001</v>
      </c>
      <c r="J131" s="132">
        <v>14775638550.02</v>
      </c>
      <c r="K131" s="132">
        <v>14019864076.059999</v>
      </c>
      <c r="L131" s="182">
        <f>M131+N131+O131</f>
        <v>772676372.81000006</v>
      </c>
      <c r="M131" s="132">
        <v>0</v>
      </c>
      <c r="N131" s="132">
        <v>709014371.20000005</v>
      </c>
      <c r="O131" s="132">
        <v>63662001.609999999</v>
      </c>
      <c r="P131" s="53">
        <f t="shared" si="84"/>
        <v>477.59849789000003</v>
      </c>
      <c r="Q131" s="53">
        <f t="shared" si="85"/>
        <v>20287.253330200001</v>
      </c>
      <c r="R131" s="53">
        <f t="shared" si="85"/>
        <v>1284.0433532</v>
      </c>
      <c r="S131" s="53">
        <f t="shared" si="85"/>
        <v>0</v>
      </c>
      <c r="T131" s="53">
        <f>G131/1000000</f>
        <v>1190.0253429100001</v>
      </c>
      <c r="U131" s="53">
        <f>H131/1000000</f>
        <v>94.018010289999992</v>
      </c>
      <c r="V131" s="53">
        <f>I131/1000000</f>
        <v>16.901898850000002</v>
      </c>
      <c r="W131" s="53">
        <f t="shared" si="92"/>
        <v>14019.864076059999</v>
      </c>
      <c r="X131" s="53">
        <f t="shared" si="92"/>
        <v>772.67637281000009</v>
      </c>
      <c r="Y131" s="53">
        <f t="shared" si="92"/>
        <v>0</v>
      </c>
      <c r="Z131" s="53">
        <f t="shared" si="88"/>
        <v>709.01437120000003</v>
      </c>
      <c r="AA131" s="53">
        <f t="shared" si="88"/>
        <v>63.662001609999997</v>
      </c>
      <c r="AB131" s="53">
        <f>V131/P131%</f>
        <v>3.5389346751866939</v>
      </c>
      <c r="AC131" s="53">
        <f>W131/Q131%</f>
        <v>69.106762989890584</v>
      </c>
      <c r="AD131" s="53">
        <f>X131/R131%</f>
        <v>60.175255834189088</v>
      </c>
      <c r="AE131" s="133" t="s">
        <v>30</v>
      </c>
      <c r="AF131" s="53">
        <f t="shared" si="91"/>
        <v>59.579770752295801</v>
      </c>
      <c r="AG131" s="134">
        <f>AA131/U131%</f>
        <v>67.71255998040543</v>
      </c>
      <c r="AH131" s="135"/>
    </row>
    <row r="132" spans="1:34" s="76" customFormat="1" hidden="1" x14ac:dyDescent="0.25">
      <c r="A132" s="69" t="s">
        <v>105</v>
      </c>
      <c r="B132" s="352">
        <f>(B54+B56+B58+B60+B79+B89+B91+B106+B108+B115+B122+B125)-B131</f>
        <v>0</v>
      </c>
      <c r="C132" s="352">
        <f>(C54+C56+C58+C60+C79+C89+C91+C106+C108+C115+C122+C125)-C131</f>
        <v>0</v>
      </c>
      <c r="D132" s="352">
        <f>(D54+D56+D58+D60+D79+D89+D91+D106+D108+D115+D122+D125)-D131</f>
        <v>0</v>
      </c>
      <c r="E132" s="352">
        <f>(E54+E56+E58+E60+E79+E89+E91+E106+E108+E115+E122+G125)-E131</f>
        <v>0</v>
      </c>
      <c r="F132" s="352">
        <f t="shared" ref="F132:K132" si="95">(F54+F56+F58+F60+F79+F89+F91+F106+F108+F115+F122+F125)-F131</f>
        <v>0</v>
      </c>
      <c r="G132" s="352">
        <f t="shared" si="95"/>
        <v>0</v>
      </c>
      <c r="H132" s="352">
        <f t="shared" si="95"/>
        <v>0</v>
      </c>
      <c r="I132" s="352">
        <f t="shared" si="95"/>
        <v>0</v>
      </c>
      <c r="J132" s="352">
        <f t="shared" si="95"/>
        <v>0</v>
      </c>
      <c r="K132" s="352">
        <f t="shared" si="95"/>
        <v>0</v>
      </c>
      <c r="L132" s="352">
        <f>(L54+L56+L58+L60+L79+L89+L91+L106+L108+L115+L122+N125)-L131</f>
        <v>0</v>
      </c>
      <c r="M132" s="352">
        <f>(M54+M56+M58+M60+M79+M89+M91+M106+M108+M115+M122+M125)-M131</f>
        <v>0</v>
      </c>
      <c r="N132" s="352">
        <f>(N54+N56+N58+N60+N79+N89+N91+N106+N108+N115+N122+N125)-N131</f>
        <v>0</v>
      </c>
      <c r="O132" s="352">
        <f>(O54+O56+O58+O60+O79+O89+O91+O106+O108+O115+O122+O125)-O131</f>
        <v>0</v>
      </c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353"/>
      <c r="AH132" s="136"/>
    </row>
    <row r="133" spans="1:34" s="42" customFormat="1" ht="27" thickBot="1" x14ac:dyDescent="0.3">
      <c r="A133" s="137" t="s">
        <v>106</v>
      </c>
      <c r="B133" s="138">
        <f>B38-B129</f>
        <v>-6315203033.0699921</v>
      </c>
      <c r="C133" s="138"/>
      <c r="D133" s="138">
        <f t="shared" ref="D133:I133" si="96">D38-D129</f>
        <v>-5008758930.0600052</v>
      </c>
      <c r="E133" s="138">
        <f t="shared" si="96"/>
        <v>-1306444103.010006</v>
      </c>
      <c r="F133" s="138">
        <f t="shared" si="96"/>
        <v>-733321070.59000015</v>
      </c>
      <c r="G133" s="138">
        <f t="shared" si="96"/>
        <v>-365104040.72999954</v>
      </c>
      <c r="H133" s="138">
        <f t="shared" si="96"/>
        <v>-208018991.68999934</v>
      </c>
      <c r="I133" s="138">
        <f t="shared" si="96"/>
        <v>-885149360.21000671</v>
      </c>
      <c r="J133" s="138"/>
      <c r="K133" s="138">
        <f>K38-K129</f>
        <v>-775900330.79000092</v>
      </c>
      <c r="L133" s="138">
        <f>L38-L129</f>
        <v>-109249029.41999435</v>
      </c>
      <c r="M133" s="138">
        <f>M38-M129</f>
        <v>76999026.220001221</v>
      </c>
      <c r="N133" s="138">
        <f>N38-N129</f>
        <v>-120918553.16000175</v>
      </c>
      <c r="O133" s="138">
        <f>O38-O129</f>
        <v>-65329502.480000257</v>
      </c>
      <c r="P133" s="139">
        <f t="shared" si="84"/>
        <v>-6315.2030330699918</v>
      </c>
      <c r="Q133" s="139">
        <f t="shared" si="85"/>
        <v>-5008.7589300600048</v>
      </c>
      <c r="R133" s="139">
        <f t="shared" si="85"/>
        <v>-1306.4441030100058</v>
      </c>
      <c r="S133" s="139">
        <f t="shared" si="85"/>
        <v>-733.3210705900002</v>
      </c>
      <c r="T133" s="139">
        <f t="shared" si="85"/>
        <v>-365.10404072999955</v>
      </c>
      <c r="U133" s="139">
        <f t="shared" si="85"/>
        <v>-208.01899168999935</v>
      </c>
      <c r="V133" s="139">
        <f t="shared" si="85"/>
        <v>-885.14936021000676</v>
      </c>
      <c r="W133" s="139">
        <f t="shared" si="92"/>
        <v>-775.90033079000091</v>
      </c>
      <c r="X133" s="139">
        <f t="shared" si="92"/>
        <v>-109.24902941999436</v>
      </c>
      <c r="Y133" s="139">
        <f t="shared" si="92"/>
        <v>76.999026220001227</v>
      </c>
      <c r="Z133" s="139">
        <f>N133/1000000</f>
        <v>-120.91855316000175</v>
      </c>
      <c r="AA133" s="139">
        <f>O133/1000000</f>
        <v>-65.329502480000258</v>
      </c>
      <c r="AB133" s="140" t="s">
        <v>107</v>
      </c>
      <c r="AC133" s="140" t="s">
        <v>107</v>
      </c>
      <c r="AD133" s="140" t="s">
        <v>107</v>
      </c>
      <c r="AE133" s="140" t="s">
        <v>107</v>
      </c>
      <c r="AF133" s="140" t="s">
        <v>107</v>
      </c>
      <c r="AG133" s="141" t="s">
        <v>107</v>
      </c>
      <c r="AH133" s="142"/>
    </row>
    <row r="134" spans="1:34" s="42" customFormat="1" ht="13.8" hidden="1" thickTop="1" x14ac:dyDescent="0.25">
      <c r="A134" s="143" t="s">
        <v>108</v>
      </c>
      <c r="B134" s="144">
        <v>-6315203033.0699997</v>
      </c>
      <c r="C134" s="144">
        <v>0</v>
      </c>
      <c r="D134" s="144">
        <v>-5008758930.0600004</v>
      </c>
      <c r="E134" s="145">
        <f>F134+G134+H134</f>
        <v>-1306444103.0100002</v>
      </c>
      <c r="F134" s="144">
        <v>-733321070.59000003</v>
      </c>
      <c r="G134" s="144">
        <v>-365104040.73000002</v>
      </c>
      <c r="H134" s="144">
        <v>-208018991.69</v>
      </c>
      <c r="I134" s="144">
        <v>-885149360.21000004</v>
      </c>
      <c r="J134" s="144">
        <v>0</v>
      </c>
      <c r="K134" s="144">
        <v>-775900330.78999996</v>
      </c>
      <c r="L134" s="145">
        <f>M134+N134+O134</f>
        <v>-109249029.42</v>
      </c>
      <c r="M134" s="144">
        <v>76999026.219999999</v>
      </c>
      <c r="N134" s="144">
        <v>-120918553.16</v>
      </c>
      <c r="O134" s="144">
        <v>-65329502.480000004</v>
      </c>
      <c r="P134" s="146">
        <f>B134/1000000</f>
        <v>-6315.2030330699999</v>
      </c>
      <c r="Q134" s="146">
        <f t="shared" ref="Q134:V134" si="97">D134/1000000</f>
        <v>-5008.7589300600002</v>
      </c>
      <c r="R134" s="146">
        <f t="shared" si="97"/>
        <v>-1306.4441030100002</v>
      </c>
      <c r="S134" s="146">
        <f t="shared" si="97"/>
        <v>-733.32107058999998</v>
      </c>
      <c r="T134" s="146">
        <f t="shared" si="97"/>
        <v>-365.10404073000001</v>
      </c>
      <c r="U134" s="146">
        <f t="shared" si="97"/>
        <v>-208.01899169000001</v>
      </c>
      <c r="V134" s="146">
        <f t="shared" si="97"/>
        <v>-885.14936021000005</v>
      </c>
      <c r="W134" s="146">
        <f t="shared" si="92"/>
        <v>-775.90033079</v>
      </c>
      <c r="X134" s="146">
        <f t="shared" si="92"/>
        <v>-109.24902942</v>
      </c>
      <c r="Y134" s="146">
        <f t="shared" si="92"/>
        <v>76.999026220000005</v>
      </c>
      <c r="Z134" s="146">
        <f>N134/1000000</f>
        <v>-120.91855316</v>
      </c>
      <c r="AA134" s="146">
        <f>O134/1000000</f>
        <v>-65.329502480000002</v>
      </c>
      <c r="AB134" s="146"/>
      <c r="AC134" s="146"/>
      <c r="AD134" s="146"/>
      <c r="AE134" s="146"/>
      <c r="AF134" s="146"/>
      <c r="AG134" s="147"/>
      <c r="AH134" s="148"/>
    </row>
    <row r="135" spans="1:34" s="42" customFormat="1" ht="13.8" hidden="1" thickBot="1" x14ac:dyDescent="0.3">
      <c r="A135" s="149" t="s">
        <v>109</v>
      </c>
      <c r="B135" s="150">
        <f>B133-B134</f>
        <v>7.62939453125E-6</v>
      </c>
      <c r="C135" s="150"/>
      <c r="D135" s="150">
        <f t="shared" ref="D135:AA135" si="98">D133-D134</f>
        <v>0</v>
      </c>
      <c r="E135" s="150">
        <f t="shared" si="98"/>
        <v>-5.7220458984375E-6</v>
      </c>
      <c r="F135" s="150">
        <f t="shared" si="98"/>
        <v>0</v>
      </c>
      <c r="G135" s="150">
        <f t="shared" si="98"/>
        <v>4.76837158203125E-7</v>
      </c>
      <c r="H135" s="150">
        <f t="shared" si="98"/>
        <v>6.5565109252929688E-7</v>
      </c>
      <c r="I135" s="150">
        <f t="shared" si="98"/>
        <v>-6.67572021484375E-6</v>
      </c>
      <c r="J135" s="150"/>
      <c r="K135" s="150">
        <f t="shared" si="98"/>
        <v>-9.5367431640625E-7</v>
      </c>
      <c r="L135" s="150">
        <f t="shared" si="98"/>
        <v>5.6475400924682617E-6</v>
      </c>
      <c r="M135" s="150">
        <f t="shared" si="98"/>
        <v>1.2218952178955078E-6</v>
      </c>
      <c r="N135" s="150">
        <f t="shared" si="98"/>
        <v>-1.7583370208740234E-6</v>
      </c>
      <c r="O135" s="150">
        <f t="shared" si="98"/>
        <v>-2.5331974029541016E-7</v>
      </c>
      <c r="P135" s="150">
        <f t="shared" si="98"/>
        <v>8.1854523159563541E-12</v>
      </c>
      <c r="Q135" s="150">
        <f t="shared" si="98"/>
        <v>0</v>
      </c>
      <c r="R135" s="150">
        <f t="shared" si="98"/>
        <v>-5.6843418860808015E-12</v>
      </c>
      <c r="S135" s="150">
        <f t="shared" si="98"/>
        <v>0</v>
      </c>
      <c r="T135" s="150">
        <f t="shared" si="98"/>
        <v>4.5474735088646412E-13</v>
      </c>
      <c r="U135" s="150">
        <f t="shared" si="98"/>
        <v>6.5369931689929217E-13</v>
      </c>
      <c r="V135" s="150">
        <f t="shared" si="98"/>
        <v>-6.7075234255753458E-12</v>
      </c>
      <c r="W135" s="150">
        <f t="shared" si="98"/>
        <v>-9.0949470177292824E-13</v>
      </c>
      <c r="X135" s="150">
        <f t="shared" si="98"/>
        <v>5.6417093219351955E-12</v>
      </c>
      <c r="Y135" s="150">
        <f t="shared" si="98"/>
        <v>1.2221335055073723E-12</v>
      </c>
      <c r="Z135" s="150">
        <f t="shared" si="98"/>
        <v>-1.7479351299698465E-12</v>
      </c>
      <c r="AA135" s="150">
        <f t="shared" si="98"/>
        <v>-2.5579538487363607E-13</v>
      </c>
      <c r="AB135" s="151"/>
      <c r="AC135" s="151"/>
      <c r="AD135" s="151"/>
      <c r="AE135" s="151"/>
      <c r="AF135" s="151"/>
      <c r="AG135" s="152"/>
      <c r="AH135" s="148"/>
    </row>
    <row r="136" spans="1:34" ht="13.5" customHeight="1" thickTop="1" x14ac:dyDescent="0.25">
      <c r="A136" s="450" t="s">
        <v>0</v>
      </c>
      <c r="B136" s="452" t="s">
        <v>129</v>
      </c>
      <c r="C136" s="452"/>
      <c r="D136" s="452"/>
      <c r="E136" s="452"/>
      <c r="F136" s="452"/>
      <c r="G136" s="452"/>
      <c r="H136" s="452"/>
      <c r="I136" s="452" t="s">
        <v>374</v>
      </c>
      <c r="J136" s="452"/>
      <c r="K136" s="452"/>
      <c r="L136" s="452"/>
      <c r="M136" s="452"/>
      <c r="N136" s="452"/>
      <c r="O136" s="452"/>
      <c r="P136" s="452" t="s">
        <v>130</v>
      </c>
      <c r="Q136" s="452"/>
      <c r="R136" s="452"/>
      <c r="S136" s="452"/>
      <c r="T136" s="452"/>
      <c r="U136" s="452"/>
      <c r="V136" s="452" t="s">
        <v>374</v>
      </c>
      <c r="W136" s="452"/>
      <c r="X136" s="452"/>
      <c r="Y136" s="452"/>
      <c r="Z136" s="452"/>
      <c r="AA136" s="452"/>
      <c r="AB136" s="452" t="s">
        <v>1</v>
      </c>
      <c r="AC136" s="452"/>
      <c r="AD136" s="452"/>
      <c r="AE136" s="452"/>
      <c r="AF136" s="452"/>
      <c r="AG136" s="453"/>
      <c r="AH136" s="10"/>
    </row>
    <row r="137" spans="1:34" x14ac:dyDescent="0.25">
      <c r="A137" s="451"/>
      <c r="B137" s="444" t="s">
        <v>2</v>
      </c>
      <c r="C137" s="454" t="s">
        <v>3</v>
      </c>
      <c r="D137" s="455"/>
      <c r="E137" s="455"/>
      <c r="F137" s="455"/>
      <c r="G137" s="455"/>
      <c r="H137" s="456"/>
      <c r="I137" s="444" t="s">
        <v>2</v>
      </c>
      <c r="J137" s="11"/>
      <c r="K137" s="445" t="s">
        <v>3</v>
      </c>
      <c r="L137" s="445"/>
      <c r="M137" s="445"/>
      <c r="N137" s="445"/>
      <c r="O137" s="445"/>
      <c r="P137" s="444" t="s">
        <v>2</v>
      </c>
      <c r="Q137" s="445" t="s">
        <v>4</v>
      </c>
      <c r="R137" s="445"/>
      <c r="S137" s="445"/>
      <c r="T137" s="445"/>
      <c r="U137" s="445"/>
      <c r="V137" s="444" t="s">
        <v>2</v>
      </c>
      <c r="W137" s="445" t="s">
        <v>4</v>
      </c>
      <c r="X137" s="445"/>
      <c r="Y137" s="445"/>
      <c r="Z137" s="445"/>
      <c r="AA137" s="445"/>
      <c r="AB137" s="444" t="s">
        <v>2</v>
      </c>
      <c r="AC137" s="445" t="s">
        <v>4</v>
      </c>
      <c r="AD137" s="445"/>
      <c r="AE137" s="445"/>
      <c r="AF137" s="445"/>
      <c r="AG137" s="459"/>
      <c r="AH137" s="10"/>
    </row>
    <row r="138" spans="1:34" x14ac:dyDescent="0.25">
      <c r="A138" s="451"/>
      <c r="B138" s="444"/>
      <c r="C138" s="460" t="s">
        <v>5</v>
      </c>
      <c r="D138" s="444" t="s">
        <v>6</v>
      </c>
      <c r="E138" s="444" t="s">
        <v>7</v>
      </c>
      <c r="F138" s="447" t="s">
        <v>8</v>
      </c>
      <c r="G138" s="447"/>
      <c r="H138" s="447"/>
      <c r="I138" s="444"/>
      <c r="J138" s="460" t="s">
        <v>5</v>
      </c>
      <c r="K138" s="444" t="s">
        <v>6</v>
      </c>
      <c r="L138" s="444" t="s">
        <v>7</v>
      </c>
      <c r="M138" s="447" t="s">
        <v>8</v>
      </c>
      <c r="N138" s="447"/>
      <c r="O138" s="447"/>
      <c r="P138" s="444"/>
      <c r="Q138" s="444" t="s">
        <v>6</v>
      </c>
      <c r="R138" s="446" t="s">
        <v>7</v>
      </c>
      <c r="S138" s="447" t="s">
        <v>8</v>
      </c>
      <c r="T138" s="447"/>
      <c r="U138" s="447"/>
      <c r="V138" s="444"/>
      <c r="W138" s="444" t="s">
        <v>6</v>
      </c>
      <c r="X138" s="446" t="s">
        <v>7</v>
      </c>
      <c r="Y138" s="447" t="s">
        <v>8</v>
      </c>
      <c r="Z138" s="447"/>
      <c r="AA138" s="447"/>
      <c r="AB138" s="444"/>
      <c r="AC138" s="446" t="s">
        <v>6</v>
      </c>
      <c r="AD138" s="446" t="s">
        <v>7</v>
      </c>
      <c r="AE138" s="457" t="s">
        <v>8</v>
      </c>
      <c r="AF138" s="457"/>
      <c r="AG138" s="458"/>
      <c r="AH138" s="12"/>
    </row>
    <row r="139" spans="1:34" ht="54.75" customHeight="1" x14ac:dyDescent="0.25">
      <c r="A139" s="451"/>
      <c r="B139" s="444"/>
      <c r="C139" s="461"/>
      <c r="D139" s="444"/>
      <c r="E139" s="444"/>
      <c r="F139" s="13" t="s">
        <v>9</v>
      </c>
      <c r="G139" s="13" t="s">
        <v>10</v>
      </c>
      <c r="H139" s="13" t="s">
        <v>11</v>
      </c>
      <c r="I139" s="444"/>
      <c r="J139" s="461"/>
      <c r="K139" s="444"/>
      <c r="L139" s="444"/>
      <c r="M139" s="13" t="s">
        <v>9</v>
      </c>
      <c r="N139" s="13" t="s">
        <v>10</v>
      </c>
      <c r="O139" s="13" t="s">
        <v>11</v>
      </c>
      <c r="P139" s="444"/>
      <c r="Q139" s="444"/>
      <c r="R139" s="446"/>
      <c r="S139" s="13" t="s">
        <v>9</v>
      </c>
      <c r="T139" s="13" t="s">
        <v>10</v>
      </c>
      <c r="U139" s="13" t="s">
        <v>11</v>
      </c>
      <c r="V139" s="444"/>
      <c r="W139" s="444"/>
      <c r="X139" s="446"/>
      <c r="Y139" s="13" t="s">
        <v>9</v>
      </c>
      <c r="Z139" s="13" t="s">
        <v>10</v>
      </c>
      <c r="AA139" s="13" t="s">
        <v>11</v>
      </c>
      <c r="AB139" s="444"/>
      <c r="AC139" s="446"/>
      <c r="AD139" s="446"/>
      <c r="AE139" s="14" t="s">
        <v>9</v>
      </c>
      <c r="AF139" s="14" t="s">
        <v>10</v>
      </c>
      <c r="AG139" s="15" t="s">
        <v>63</v>
      </c>
      <c r="AH139" s="16"/>
    </row>
    <row r="140" spans="1:34" x14ac:dyDescent="0.25">
      <c r="A140" s="17" t="s">
        <v>13</v>
      </c>
      <c r="B140" s="18"/>
      <c r="C140" s="18"/>
      <c r="D140" s="19"/>
      <c r="E140" s="18"/>
      <c r="F140" s="20"/>
      <c r="G140" s="20"/>
      <c r="H140" s="20"/>
      <c r="I140" s="18"/>
      <c r="J140" s="18"/>
      <c r="K140" s="18"/>
      <c r="L140" s="18"/>
      <c r="M140" s="20"/>
      <c r="N140" s="20"/>
      <c r="O140" s="20"/>
      <c r="P140" s="18" t="s">
        <v>14</v>
      </c>
      <c r="Q140" s="18" t="s">
        <v>15</v>
      </c>
      <c r="R140" s="18" t="s">
        <v>16</v>
      </c>
      <c r="S140" s="20">
        <v>4</v>
      </c>
      <c r="T140" s="20">
        <v>5</v>
      </c>
      <c r="U140" s="20">
        <v>6</v>
      </c>
      <c r="V140" s="18" t="s">
        <v>17</v>
      </c>
      <c r="W140" s="18" t="s">
        <v>18</v>
      </c>
      <c r="X140" s="18" t="s">
        <v>19</v>
      </c>
      <c r="Y140" s="20">
        <v>10</v>
      </c>
      <c r="Z140" s="20">
        <v>11</v>
      </c>
      <c r="AA140" s="20">
        <v>12</v>
      </c>
      <c r="AB140" s="18" t="s">
        <v>20</v>
      </c>
      <c r="AC140" s="18" t="s">
        <v>21</v>
      </c>
      <c r="AD140" s="18" t="s">
        <v>22</v>
      </c>
      <c r="AE140" s="20" t="s">
        <v>23</v>
      </c>
      <c r="AF140" s="20" t="s">
        <v>24</v>
      </c>
      <c r="AG140" s="21" t="s">
        <v>25</v>
      </c>
      <c r="AH140" s="22"/>
    </row>
    <row r="141" spans="1:34" s="42" customFormat="1" ht="26.4" x14ac:dyDescent="0.25">
      <c r="A141" s="35" t="s">
        <v>110</v>
      </c>
      <c r="B141" s="153">
        <v>6315203033.0699997</v>
      </c>
      <c r="C141" s="153">
        <v>0</v>
      </c>
      <c r="D141" s="153">
        <v>5008758930.0600004</v>
      </c>
      <c r="E141" s="154">
        <f>F141+G141+H141</f>
        <v>1306444103.0100002</v>
      </c>
      <c r="F141" s="153">
        <v>733321070.59000003</v>
      </c>
      <c r="G141" s="153">
        <v>365104040.73000002</v>
      </c>
      <c r="H141" s="153">
        <v>208018991.69</v>
      </c>
      <c r="I141" s="153">
        <v>885149360.21000004</v>
      </c>
      <c r="J141" s="153">
        <v>0</v>
      </c>
      <c r="K141" s="153">
        <v>775900330.78999996</v>
      </c>
      <c r="L141" s="154">
        <f>M141+N141+O141</f>
        <v>109249029.42</v>
      </c>
      <c r="M141" s="153">
        <v>-76999026.219999999</v>
      </c>
      <c r="N141" s="153">
        <v>120918553.16</v>
      </c>
      <c r="O141" s="153">
        <v>65329502.480000004</v>
      </c>
      <c r="P141" s="38">
        <f t="shared" ref="P141:P150" si="99">B141/1000000</f>
        <v>6315.2030330699999</v>
      </c>
      <c r="Q141" s="38">
        <f t="shared" ref="Q141:S149" si="100">D141/1000000</f>
        <v>5008.7589300600002</v>
      </c>
      <c r="R141" s="38">
        <f>E141/1000000</f>
        <v>1306.4441030100002</v>
      </c>
      <c r="S141" s="38">
        <f>F141/1000000</f>
        <v>733.32107058999998</v>
      </c>
      <c r="T141" s="38">
        <f t="shared" ref="T141:V149" si="101">G141/1000000</f>
        <v>365.10404073000001</v>
      </c>
      <c r="U141" s="38">
        <f t="shared" si="101"/>
        <v>208.01899169000001</v>
      </c>
      <c r="V141" s="38">
        <f t="shared" si="101"/>
        <v>885.14936021000005</v>
      </c>
      <c r="W141" s="38">
        <f t="shared" ref="W141:Y149" si="102">K141/1000000</f>
        <v>775.90033079</v>
      </c>
      <c r="X141" s="38">
        <f>L141/1000000</f>
        <v>109.24902942</v>
      </c>
      <c r="Y141" s="38">
        <f>M141/1000000</f>
        <v>-76.999026220000005</v>
      </c>
      <c r="Z141" s="38">
        <f t="shared" ref="Z141:AA149" si="103">N141/1000000</f>
        <v>120.91855316</v>
      </c>
      <c r="AA141" s="38">
        <f t="shared" si="103"/>
        <v>65.329502480000002</v>
      </c>
      <c r="AB141" s="38">
        <f t="shared" ref="AB141:AG149" si="104">V141/P141%</f>
        <v>14.016166314445535</v>
      </c>
      <c r="AC141" s="38">
        <f t="shared" si="104"/>
        <v>15.49086992654896</v>
      </c>
      <c r="AD141" s="38">
        <f t="shared" si="104"/>
        <v>8.3623194569361345</v>
      </c>
      <c r="AE141" s="38">
        <f t="shared" si="104"/>
        <v>-10.500042792722395</v>
      </c>
      <c r="AF141" s="38">
        <f t="shared" si="104"/>
        <v>33.118930406311527</v>
      </c>
      <c r="AG141" s="39">
        <f t="shared" si="104"/>
        <v>31.405547132618157</v>
      </c>
      <c r="AH141" s="40"/>
    </row>
    <row r="142" spans="1:34" s="42" customFormat="1" ht="26.4" x14ac:dyDescent="0.25">
      <c r="A142" s="43" t="s">
        <v>483</v>
      </c>
      <c r="B142" s="153">
        <v>5971388743.0900002</v>
      </c>
      <c r="C142" s="153">
        <v>0</v>
      </c>
      <c r="D142" s="153">
        <v>5393844000</v>
      </c>
      <c r="E142" s="154">
        <f t="shared" ref="E142:E148" si="105">F142+G142+H142</f>
        <v>577544743.08999991</v>
      </c>
      <c r="F142" s="153">
        <v>386789999</v>
      </c>
      <c r="G142" s="153">
        <v>164157675.28999999</v>
      </c>
      <c r="H142" s="153">
        <v>26597068.800000001</v>
      </c>
      <c r="I142" s="153">
        <v>-7557450183</v>
      </c>
      <c r="J142" s="153">
        <v>0</v>
      </c>
      <c r="K142" s="153">
        <v>-6881078182</v>
      </c>
      <c r="L142" s="155">
        <f t="shared" ref="L142:L148" si="106">M142+N142+O142</f>
        <v>-676372001</v>
      </c>
      <c r="M142" s="153">
        <v>-657000001</v>
      </c>
      <c r="N142" s="153">
        <v>-15372000</v>
      </c>
      <c r="O142" s="153">
        <v>-4000000</v>
      </c>
      <c r="P142" s="32">
        <f t="shared" si="99"/>
        <v>5971.3887430900004</v>
      </c>
      <c r="Q142" s="32">
        <f t="shared" si="100"/>
        <v>5393.8440000000001</v>
      </c>
      <c r="R142" s="32">
        <f t="shared" si="100"/>
        <v>577.54474308999988</v>
      </c>
      <c r="S142" s="32">
        <f t="shared" si="100"/>
        <v>386.78999900000002</v>
      </c>
      <c r="T142" s="32">
        <f t="shared" si="101"/>
        <v>164.15767528999999</v>
      </c>
      <c r="U142" s="32">
        <f t="shared" si="101"/>
        <v>26.597068800000002</v>
      </c>
      <c r="V142" s="32">
        <f t="shared" si="101"/>
        <v>-7557.4501829999999</v>
      </c>
      <c r="W142" s="32">
        <f t="shared" si="102"/>
        <v>-6881.0781820000002</v>
      </c>
      <c r="X142" s="32">
        <f t="shared" si="102"/>
        <v>-676.37200099999995</v>
      </c>
      <c r="Y142" s="32">
        <f t="shared" si="102"/>
        <v>-657.000001</v>
      </c>
      <c r="Z142" s="32">
        <f t="shared" si="103"/>
        <v>-15.372</v>
      </c>
      <c r="AA142" s="32">
        <f t="shared" si="103"/>
        <v>-4</v>
      </c>
      <c r="AB142" s="32">
        <f t="shared" si="104"/>
        <v>-126.56101466757403</v>
      </c>
      <c r="AC142" s="32">
        <f t="shared" si="104"/>
        <v>-127.57280674042482</v>
      </c>
      <c r="AD142" s="32">
        <f t="shared" si="104"/>
        <v>-117.11161933207998</v>
      </c>
      <c r="AE142" s="32">
        <f t="shared" si="104"/>
        <v>-169.85961444158229</v>
      </c>
      <c r="AF142" s="32">
        <f t="shared" si="104"/>
        <v>-9.3641676959934497</v>
      </c>
      <c r="AG142" s="34">
        <f t="shared" si="104"/>
        <v>-15.039251242603093</v>
      </c>
      <c r="AH142" s="30"/>
    </row>
    <row r="143" spans="1:34" s="42" customFormat="1" x14ac:dyDescent="0.25">
      <c r="A143" s="43" t="s">
        <v>484</v>
      </c>
      <c r="B143" s="153">
        <v>-5517644000</v>
      </c>
      <c r="C143" s="153">
        <v>0</v>
      </c>
      <c r="D143" s="153">
        <v>-5517644000</v>
      </c>
      <c r="E143" s="154">
        <f t="shared" si="105"/>
        <v>0</v>
      </c>
      <c r="F143" s="153">
        <v>0</v>
      </c>
      <c r="G143" s="153">
        <v>0</v>
      </c>
      <c r="H143" s="153">
        <v>0</v>
      </c>
      <c r="I143" s="153">
        <v>3712389000</v>
      </c>
      <c r="J143" s="153">
        <v>0</v>
      </c>
      <c r="K143" s="153">
        <v>3302323000</v>
      </c>
      <c r="L143" s="155">
        <f t="shared" si="106"/>
        <v>410066000</v>
      </c>
      <c r="M143" s="153">
        <v>391266000</v>
      </c>
      <c r="N143" s="153">
        <v>18800000</v>
      </c>
      <c r="O143" s="153">
        <v>0</v>
      </c>
      <c r="P143" s="32">
        <f t="shared" si="99"/>
        <v>-5517.6440000000002</v>
      </c>
      <c r="Q143" s="32">
        <f t="shared" si="100"/>
        <v>-5517.6440000000002</v>
      </c>
      <c r="R143" s="32">
        <f t="shared" si="100"/>
        <v>0</v>
      </c>
      <c r="S143" s="32">
        <f t="shared" si="100"/>
        <v>0</v>
      </c>
      <c r="T143" s="32">
        <f t="shared" si="101"/>
        <v>0</v>
      </c>
      <c r="U143" s="32">
        <f t="shared" si="101"/>
        <v>0</v>
      </c>
      <c r="V143" s="32">
        <f t="shared" si="101"/>
        <v>3712.3890000000001</v>
      </c>
      <c r="W143" s="32">
        <f t="shared" si="102"/>
        <v>3302.3229999999999</v>
      </c>
      <c r="X143" s="32">
        <f t="shared" si="102"/>
        <v>410.06599999999997</v>
      </c>
      <c r="Y143" s="32">
        <f t="shared" si="102"/>
        <v>391.26600000000002</v>
      </c>
      <c r="Z143" s="32">
        <f t="shared" si="103"/>
        <v>18.8</v>
      </c>
      <c r="AA143" s="32">
        <f t="shared" si="103"/>
        <v>0</v>
      </c>
      <c r="AB143" s="32">
        <f t="shared" si="104"/>
        <v>-67.282140710781633</v>
      </c>
      <c r="AC143" s="32">
        <f t="shared" si="104"/>
        <v>-59.850236803969231</v>
      </c>
      <c r="AD143" s="54" t="s">
        <v>30</v>
      </c>
      <c r="AE143" s="54" t="s">
        <v>30</v>
      </c>
      <c r="AF143" s="54" t="s">
        <v>30</v>
      </c>
      <c r="AG143" s="50" t="s">
        <v>30</v>
      </c>
      <c r="AH143" s="30"/>
    </row>
    <row r="144" spans="1:34" s="42" customFormat="1" ht="26.4" x14ac:dyDescent="0.25">
      <c r="A144" s="43" t="s">
        <v>113</v>
      </c>
      <c r="B144" s="153">
        <v>2571647500</v>
      </c>
      <c r="C144" s="153">
        <v>0</v>
      </c>
      <c r="D144" s="153">
        <v>2456647500</v>
      </c>
      <c r="E144" s="154">
        <f t="shared" si="105"/>
        <v>115000000</v>
      </c>
      <c r="F144" s="153">
        <v>115000000</v>
      </c>
      <c r="G144" s="153">
        <v>0</v>
      </c>
      <c r="H144" s="153">
        <v>0</v>
      </c>
      <c r="I144" s="153">
        <v>19531650</v>
      </c>
      <c r="J144" s="153">
        <v>0</v>
      </c>
      <c r="K144" s="153">
        <v>19531650</v>
      </c>
      <c r="L144" s="155">
        <f t="shared" si="106"/>
        <v>0</v>
      </c>
      <c r="M144" s="153">
        <v>0</v>
      </c>
      <c r="N144" s="153">
        <v>0</v>
      </c>
      <c r="O144" s="153">
        <v>0</v>
      </c>
      <c r="P144" s="32">
        <f t="shared" si="99"/>
        <v>2571.6475</v>
      </c>
      <c r="Q144" s="32">
        <f t="shared" si="100"/>
        <v>2456.6475</v>
      </c>
      <c r="R144" s="32">
        <f t="shared" si="100"/>
        <v>115</v>
      </c>
      <c r="S144" s="32">
        <f t="shared" si="100"/>
        <v>115</v>
      </c>
      <c r="T144" s="32">
        <f t="shared" si="101"/>
        <v>0</v>
      </c>
      <c r="U144" s="32">
        <f t="shared" si="101"/>
        <v>0</v>
      </c>
      <c r="V144" s="32">
        <f t="shared" si="101"/>
        <v>19.531649999999999</v>
      </c>
      <c r="W144" s="32">
        <f t="shared" si="102"/>
        <v>19.531649999999999</v>
      </c>
      <c r="X144" s="32">
        <f t="shared" si="102"/>
        <v>0</v>
      </c>
      <c r="Y144" s="32">
        <f t="shared" si="102"/>
        <v>0</v>
      </c>
      <c r="Z144" s="32">
        <f t="shared" si="103"/>
        <v>0</v>
      </c>
      <c r="AA144" s="32">
        <f t="shared" si="103"/>
        <v>0</v>
      </c>
      <c r="AB144" s="32">
        <f t="shared" si="104"/>
        <v>0.75949950372280806</v>
      </c>
      <c r="AC144" s="32">
        <f t="shared" si="104"/>
        <v>0.79505301432134645</v>
      </c>
      <c r="AD144" s="32">
        <f t="shared" si="104"/>
        <v>0</v>
      </c>
      <c r="AE144" s="32">
        <f t="shared" si="104"/>
        <v>0</v>
      </c>
      <c r="AF144" s="54" t="s">
        <v>30</v>
      </c>
      <c r="AG144" s="50" t="s">
        <v>30</v>
      </c>
      <c r="AH144" s="30"/>
    </row>
    <row r="145" spans="1:34" s="42" customFormat="1" ht="26.4" x14ac:dyDescent="0.25">
      <c r="A145" s="43" t="s">
        <v>114</v>
      </c>
      <c r="B145" s="153"/>
      <c r="C145" s="153"/>
      <c r="D145" s="153"/>
      <c r="E145" s="154">
        <f t="shared" si="105"/>
        <v>0</v>
      </c>
      <c r="F145" s="153"/>
      <c r="G145" s="153"/>
      <c r="H145" s="153"/>
      <c r="I145" s="153"/>
      <c r="J145" s="153"/>
      <c r="K145" s="153"/>
      <c r="L145" s="155">
        <f t="shared" si="106"/>
        <v>0</v>
      </c>
      <c r="M145" s="153"/>
      <c r="N145" s="153"/>
      <c r="O145" s="153"/>
      <c r="P145" s="32">
        <f t="shared" si="99"/>
        <v>0</v>
      </c>
      <c r="Q145" s="32">
        <f t="shared" si="100"/>
        <v>0</v>
      </c>
      <c r="R145" s="32">
        <f t="shared" si="100"/>
        <v>0</v>
      </c>
      <c r="S145" s="32">
        <f t="shared" si="100"/>
        <v>0</v>
      </c>
      <c r="T145" s="32">
        <f t="shared" si="101"/>
        <v>0</v>
      </c>
      <c r="U145" s="32">
        <f t="shared" si="101"/>
        <v>0</v>
      </c>
      <c r="V145" s="32">
        <f t="shared" si="101"/>
        <v>0</v>
      </c>
      <c r="W145" s="32">
        <f t="shared" si="102"/>
        <v>0</v>
      </c>
      <c r="X145" s="32">
        <f t="shared" si="102"/>
        <v>0</v>
      </c>
      <c r="Y145" s="32">
        <f t="shared" si="102"/>
        <v>0</v>
      </c>
      <c r="Z145" s="32">
        <f t="shared" si="103"/>
        <v>0</v>
      </c>
      <c r="AA145" s="32">
        <f t="shared" si="103"/>
        <v>0</v>
      </c>
      <c r="AB145" s="54" t="s">
        <v>30</v>
      </c>
      <c r="AC145" s="54" t="s">
        <v>30</v>
      </c>
      <c r="AD145" s="54" t="s">
        <v>30</v>
      </c>
      <c r="AE145" s="54" t="s">
        <v>30</v>
      </c>
      <c r="AF145" s="54" t="s">
        <v>30</v>
      </c>
      <c r="AG145" s="50" t="s">
        <v>30</v>
      </c>
      <c r="AH145" s="30"/>
    </row>
    <row r="146" spans="1:34" s="42" customFormat="1" x14ac:dyDescent="0.25">
      <c r="A146" s="43" t="s">
        <v>115</v>
      </c>
      <c r="B146" s="153">
        <v>162643600</v>
      </c>
      <c r="C146" s="153">
        <v>0</v>
      </c>
      <c r="D146" s="153">
        <v>162643600</v>
      </c>
      <c r="E146" s="154">
        <f t="shared" si="105"/>
        <v>0</v>
      </c>
      <c r="F146" s="153">
        <v>0</v>
      </c>
      <c r="G146" s="153">
        <v>0</v>
      </c>
      <c r="H146" s="153">
        <v>0</v>
      </c>
      <c r="I146" s="153">
        <v>58756876.719999999</v>
      </c>
      <c r="J146" s="153">
        <v>0</v>
      </c>
      <c r="K146" s="153">
        <v>58756876.719999999</v>
      </c>
      <c r="L146" s="155">
        <f t="shared" si="106"/>
        <v>0</v>
      </c>
      <c r="M146" s="153">
        <v>0</v>
      </c>
      <c r="N146" s="153">
        <v>0</v>
      </c>
      <c r="O146" s="153">
        <v>0</v>
      </c>
      <c r="P146" s="32">
        <f t="shared" si="99"/>
        <v>162.64359999999999</v>
      </c>
      <c r="Q146" s="32">
        <f t="shared" si="100"/>
        <v>162.64359999999999</v>
      </c>
      <c r="R146" s="32">
        <f t="shared" si="100"/>
        <v>0</v>
      </c>
      <c r="S146" s="32">
        <f t="shared" si="100"/>
        <v>0</v>
      </c>
      <c r="T146" s="32">
        <f t="shared" si="101"/>
        <v>0</v>
      </c>
      <c r="U146" s="32">
        <f t="shared" si="101"/>
        <v>0</v>
      </c>
      <c r="V146" s="32">
        <f t="shared" si="101"/>
        <v>58.756876720000001</v>
      </c>
      <c r="W146" s="32">
        <f t="shared" si="102"/>
        <v>58.756876720000001</v>
      </c>
      <c r="X146" s="32">
        <f t="shared" si="102"/>
        <v>0</v>
      </c>
      <c r="Y146" s="32">
        <f t="shared" si="102"/>
        <v>0</v>
      </c>
      <c r="Z146" s="32">
        <f t="shared" si="103"/>
        <v>0</v>
      </c>
      <c r="AA146" s="32">
        <f t="shared" si="103"/>
        <v>0</v>
      </c>
      <c r="AB146" s="32">
        <f t="shared" si="104"/>
        <v>36.126153577515502</v>
      </c>
      <c r="AC146" s="54" t="s">
        <v>30</v>
      </c>
      <c r="AD146" s="54" t="s">
        <v>30</v>
      </c>
      <c r="AE146" s="54" t="s">
        <v>30</v>
      </c>
      <c r="AF146" s="54" t="s">
        <v>30</v>
      </c>
      <c r="AG146" s="50" t="s">
        <v>30</v>
      </c>
      <c r="AH146" s="30"/>
    </row>
    <row r="147" spans="1:34" s="42" customFormat="1" ht="26.4" x14ac:dyDescent="0.25">
      <c r="A147" s="43" t="s">
        <v>116</v>
      </c>
      <c r="B147" s="153">
        <v>0</v>
      </c>
      <c r="C147" s="153">
        <v>0</v>
      </c>
      <c r="D147" s="153">
        <v>0</v>
      </c>
      <c r="E147" s="154">
        <f t="shared" si="105"/>
        <v>0</v>
      </c>
      <c r="F147" s="153">
        <v>0</v>
      </c>
      <c r="G147" s="153">
        <v>0</v>
      </c>
      <c r="H147" s="153">
        <v>0</v>
      </c>
      <c r="I147" s="153">
        <v>3555425690.48</v>
      </c>
      <c r="J147" s="153">
        <v>0</v>
      </c>
      <c r="K147" s="153">
        <v>2516902983.73</v>
      </c>
      <c r="L147" s="155">
        <f t="shared" si="106"/>
        <v>1038522706.7500001</v>
      </c>
      <c r="M147" s="153">
        <v>556037384.20000005</v>
      </c>
      <c r="N147" s="153">
        <v>472510968.61000001</v>
      </c>
      <c r="O147" s="153">
        <v>9974353.9399999995</v>
      </c>
      <c r="P147" s="32">
        <f t="shared" si="99"/>
        <v>0</v>
      </c>
      <c r="Q147" s="32">
        <f t="shared" si="100"/>
        <v>0</v>
      </c>
      <c r="R147" s="32">
        <f t="shared" si="100"/>
        <v>0</v>
      </c>
      <c r="S147" s="32">
        <f t="shared" si="100"/>
        <v>0</v>
      </c>
      <c r="T147" s="32">
        <f t="shared" si="101"/>
        <v>0</v>
      </c>
      <c r="U147" s="32">
        <f t="shared" si="101"/>
        <v>0</v>
      </c>
      <c r="V147" s="32">
        <f t="shared" si="101"/>
        <v>3555.42569048</v>
      </c>
      <c r="W147" s="32">
        <f t="shared" si="102"/>
        <v>2516.90298373</v>
      </c>
      <c r="X147" s="32">
        <f t="shared" si="102"/>
        <v>1038.5227067500002</v>
      </c>
      <c r="Y147" s="32">
        <f t="shared" si="102"/>
        <v>556.03738420000002</v>
      </c>
      <c r="Z147" s="32">
        <f t="shared" si="103"/>
        <v>472.51096861000002</v>
      </c>
      <c r="AA147" s="32">
        <f t="shared" si="103"/>
        <v>9.9743539400000003</v>
      </c>
      <c r="AB147" s="54" t="s">
        <v>30</v>
      </c>
      <c r="AC147" s="54" t="s">
        <v>30</v>
      </c>
      <c r="AD147" s="54" t="s">
        <v>30</v>
      </c>
      <c r="AE147" s="54" t="s">
        <v>30</v>
      </c>
      <c r="AF147" s="54" t="s">
        <v>30</v>
      </c>
      <c r="AG147" s="50" t="s">
        <v>30</v>
      </c>
      <c r="AH147" s="30"/>
    </row>
    <row r="148" spans="1:34" s="42" customFormat="1" ht="13.8" thickBot="1" x14ac:dyDescent="0.3">
      <c r="A148" s="156" t="s">
        <v>117</v>
      </c>
      <c r="B148" s="157">
        <v>3127167189.98</v>
      </c>
      <c r="C148" s="157">
        <v>0</v>
      </c>
      <c r="D148" s="157">
        <v>2513267830.0599999</v>
      </c>
      <c r="E148" s="154">
        <f t="shared" si="105"/>
        <v>613899359.91999996</v>
      </c>
      <c r="F148" s="157">
        <v>231531071.59</v>
      </c>
      <c r="G148" s="157">
        <v>200946365.44</v>
      </c>
      <c r="H148" s="157">
        <v>181421922.88999999</v>
      </c>
      <c r="I148" s="157">
        <v>1096496326.01</v>
      </c>
      <c r="J148" s="157">
        <v>0</v>
      </c>
      <c r="K148" s="157">
        <v>1759464002.3399999</v>
      </c>
      <c r="L148" s="158">
        <f t="shared" si="106"/>
        <v>-662967676.33000004</v>
      </c>
      <c r="M148" s="157">
        <v>-367302409.42000002</v>
      </c>
      <c r="N148" s="157">
        <v>-355020415.44999999</v>
      </c>
      <c r="O148" s="157">
        <v>59355148.540000007</v>
      </c>
      <c r="P148" s="159">
        <f t="shared" si="99"/>
        <v>3127.1671899799999</v>
      </c>
      <c r="Q148" s="159">
        <f t="shared" si="100"/>
        <v>2513.2678300600001</v>
      </c>
      <c r="R148" s="159">
        <f t="shared" si="100"/>
        <v>613.89935991999994</v>
      </c>
      <c r="S148" s="159">
        <f t="shared" si="100"/>
        <v>231.53107159000001</v>
      </c>
      <c r="T148" s="159">
        <f t="shared" si="101"/>
        <v>200.94636543999999</v>
      </c>
      <c r="U148" s="159">
        <f t="shared" si="101"/>
        <v>181.42192288999999</v>
      </c>
      <c r="V148" s="159">
        <f t="shared" si="101"/>
        <v>1096.4963260100001</v>
      </c>
      <c r="W148" s="159">
        <f t="shared" si="102"/>
        <v>1759.46400234</v>
      </c>
      <c r="X148" s="159">
        <f t="shared" si="102"/>
        <v>-662.96767633000002</v>
      </c>
      <c r="Y148" s="159">
        <f t="shared" si="102"/>
        <v>-367.30240942</v>
      </c>
      <c r="Z148" s="159">
        <f t="shared" si="103"/>
        <v>-355.02041544999997</v>
      </c>
      <c r="AA148" s="159">
        <f t="shared" si="103"/>
        <v>59.355148540000009</v>
      </c>
      <c r="AB148" s="159">
        <f t="shared" si="104"/>
        <v>35.063565821596285</v>
      </c>
      <c r="AC148" s="159">
        <f t="shared" si="104"/>
        <v>70.007023576870267</v>
      </c>
      <c r="AD148" s="159">
        <f t="shared" si="104"/>
        <v>-107.99289258363039</v>
      </c>
      <c r="AE148" s="159">
        <f t="shared" si="104"/>
        <v>-158.64065539783218</v>
      </c>
      <c r="AF148" s="159">
        <f t="shared" si="104"/>
        <v>-176.67421586483212</v>
      </c>
      <c r="AG148" s="160">
        <f t="shared" ref="AG148" si="107">AA148/U148%</f>
        <v>32.716635120215493</v>
      </c>
      <c r="AH148" s="30"/>
    </row>
    <row r="149" spans="1:34" s="42" customFormat="1" ht="13.8" hidden="1" thickTop="1" x14ac:dyDescent="0.25">
      <c r="A149" s="161" t="s">
        <v>104</v>
      </c>
      <c r="B149" s="153">
        <f>+B133+B141</f>
        <v>7.62939453125E-6</v>
      </c>
      <c r="C149" s="153">
        <f t="shared" ref="C149:O149" si="108">+C133+C141</f>
        <v>0</v>
      </c>
      <c r="D149" s="153">
        <f t="shared" si="108"/>
        <v>0</v>
      </c>
      <c r="E149" s="153">
        <f t="shared" si="108"/>
        <v>-5.7220458984375E-6</v>
      </c>
      <c r="F149" s="153">
        <f t="shared" si="108"/>
        <v>0</v>
      </c>
      <c r="G149" s="153">
        <f t="shared" si="108"/>
        <v>4.76837158203125E-7</v>
      </c>
      <c r="H149" s="153">
        <f t="shared" si="108"/>
        <v>6.5565109252929688E-7</v>
      </c>
      <c r="I149" s="153">
        <f t="shared" si="108"/>
        <v>-6.67572021484375E-6</v>
      </c>
      <c r="J149" s="153">
        <f t="shared" si="108"/>
        <v>0</v>
      </c>
      <c r="K149" s="153">
        <f t="shared" si="108"/>
        <v>-9.5367431640625E-7</v>
      </c>
      <c r="L149" s="153">
        <f t="shared" si="108"/>
        <v>5.6475400924682617E-6</v>
      </c>
      <c r="M149" s="153">
        <f t="shared" si="108"/>
        <v>1.2218952178955078E-6</v>
      </c>
      <c r="N149" s="153">
        <f t="shared" si="108"/>
        <v>-1.7583370208740234E-6</v>
      </c>
      <c r="O149" s="153">
        <f t="shared" si="108"/>
        <v>-2.5331974029541016E-7</v>
      </c>
      <c r="P149" s="162">
        <f t="shared" si="99"/>
        <v>7.6293945312499997E-12</v>
      </c>
      <c r="Q149" s="162">
        <f t="shared" si="100"/>
        <v>0</v>
      </c>
      <c r="R149" s="162">
        <f t="shared" si="100"/>
        <v>-5.7220458984375001E-12</v>
      </c>
      <c r="S149" s="162">
        <f t="shared" si="100"/>
        <v>0</v>
      </c>
      <c r="T149" s="162">
        <f t="shared" si="101"/>
        <v>4.7683715820312498E-13</v>
      </c>
      <c r="U149" s="162">
        <f t="shared" si="101"/>
        <v>6.5565109252929686E-13</v>
      </c>
      <c r="V149" s="162">
        <f t="shared" si="101"/>
        <v>-6.6757202148437499E-12</v>
      </c>
      <c r="W149" s="162">
        <f t="shared" si="102"/>
        <v>-9.5367431640624996E-13</v>
      </c>
      <c r="X149" s="162">
        <f t="shared" si="102"/>
        <v>5.6475400924682617E-12</v>
      </c>
      <c r="Y149" s="162">
        <f t="shared" si="102"/>
        <v>1.2218952178955078E-12</v>
      </c>
      <c r="Z149" s="162">
        <f t="shared" si="103"/>
        <v>-1.7583370208740234E-12</v>
      </c>
      <c r="AA149" s="162">
        <f t="shared" si="103"/>
        <v>-2.5331974029541015E-13</v>
      </c>
      <c r="AB149" s="162">
        <f t="shared" si="104"/>
        <v>-87.5</v>
      </c>
      <c r="AC149" s="162" t="e">
        <f t="shared" si="104"/>
        <v>#DIV/0!</v>
      </c>
      <c r="AD149" s="162">
        <f t="shared" si="104"/>
        <v>-98.697916666666657</v>
      </c>
      <c r="AE149" s="162" t="e">
        <f t="shared" si="104"/>
        <v>#DIV/0!</v>
      </c>
      <c r="AF149" s="162">
        <f t="shared" si="104"/>
        <v>-368.75</v>
      </c>
      <c r="AG149" s="163">
        <f t="shared" si="104"/>
        <v>-38.63636363636364</v>
      </c>
      <c r="AH149" s="30"/>
    </row>
    <row r="150" spans="1:34" s="42" customFormat="1" hidden="1" x14ac:dyDescent="0.25">
      <c r="A150" s="164"/>
      <c r="B150" s="153">
        <f>+B141+B134</f>
        <v>0</v>
      </c>
      <c r="C150" s="153">
        <f t="shared" ref="C150:O150" si="109">+C141+C134</f>
        <v>0</v>
      </c>
      <c r="D150" s="153">
        <f t="shared" si="109"/>
        <v>0</v>
      </c>
      <c r="E150" s="153">
        <f t="shared" si="109"/>
        <v>0</v>
      </c>
      <c r="F150" s="153">
        <f t="shared" si="109"/>
        <v>0</v>
      </c>
      <c r="G150" s="153">
        <f t="shared" si="109"/>
        <v>0</v>
      </c>
      <c r="H150" s="153">
        <f t="shared" si="109"/>
        <v>0</v>
      </c>
      <c r="I150" s="153">
        <f t="shared" si="109"/>
        <v>0</v>
      </c>
      <c r="J150" s="153">
        <f t="shared" si="109"/>
        <v>0</v>
      </c>
      <c r="K150" s="153">
        <f t="shared" si="109"/>
        <v>0</v>
      </c>
      <c r="L150" s="153">
        <f t="shared" si="109"/>
        <v>0</v>
      </c>
      <c r="M150" s="153">
        <f t="shared" si="109"/>
        <v>0</v>
      </c>
      <c r="N150" s="153">
        <f t="shared" si="109"/>
        <v>0</v>
      </c>
      <c r="O150" s="153">
        <f t="shared" si="109"/>
        <v>0</v>
      </c>
      <c r="P150" s="153">
        <f t="shared" si="99"/>
        <v>0</v>
      </c>
      <c r="Q150" s="153"/>
      <c r="R150" s="153"/>
      <c r="S150" s="153"/>
      <c r="T150" s="153"/>
      <c r="U150" s="153"/>
      <c r="V150" s="153"/>
      <c r="W150" s="153"/>
      <c r="X150" s="153"/>
      <c r="Y150" s="153"/>
      <c r="Z150" s="153"/>
      <c r="AA150" s="153"/>
      <c r="AB150" s="165"/>
      <c r="AC150" s="165"/>
      <c r="AD150" s="165"/>
      <c r="AE150" s="165"/>
      <c r="AF150" s="165"/>
      <c r="AG150" s="166"/>
      <c r="AH150" s="165"/>
    </row>
    <row r="151" spans="1:34" s="42" customFormat="1" ht="13.8" thickTop="1" x14ac:dyDescent="0.25">
      <c r="A151" s="164"/>
      <c r="B151" s="153"/>
      <c r="C151" s="153"/>
      <c r="D151" s="153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  <c r="X151" s="153"/>
      <c r="Y151" s="153"/>
      <c r="Z151" s="153"/>
      <c r="AA151" s="153"/>
      <c r="AB151" s="165"/>
      <c r="AC151" s="165"/>
      <c r="AD151" s="165"/>
      <c r="AE151" s="165"/>
      <c r="AF151" s="165"/>
      <c r="AG151" s="165"/>
      <c r="AH151" s="165"/>
    </row>
    <row r="152" spans="1:34" s="42" customFormat="1" x14ac:dyDescent="0.25">
      <c r="A152" s="164"/>
      <c r="B152" s="153"/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  <c r="Z152" s="153"/>
      <c r="AA152" s="153"/>
      <c r="AB152" s="165"/>
      <c r="AC152" s="165"/>
      <c r="AD152" s="165"/>
      <c r="AE152" s="165"/>
      <c r="AF152" s="165"/>
      <c r="AG152" s="165"/>
      <c r="AH152" s="165"/>
    </row>
    <row r="153" spans="1:34" s="42" customFormat="1" x14ac:dyDescent="0.25">
      <c r="A153" s="164"/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65"/>
      <c r="AC153" s="165"/>
      <c r="AD153" s="165"/>
      <c r="AE153" s="165"/>
      <c r="AF153" s="165"/>
      <c r="AG153" s="165"/>
      <c r="AH153" s="165"/>
    </row>
    <row r="154" spans="1:34" s="168" customFormat="1" ht="15.6" customHeight="1" thickBot="1" x14ac:dyDescent="0.3">
      <c r="A154" s="463" t="s">
        <v>118</v>
      </c>
      <c r="B154" s="463"/>
      <c r="C154" s="463"/>
      <c r="D154" s="463"/>
      <c r="E154" s="463"/>
      <c r="F154" s="463"/>
      <c r="G154" s="463"/>
      <c r="H154" s="463"/>
      <c r="I154" s="463"/>
      <c r="J154" s="463"/>
      <c r="K154" s="463"/>
      <c r="L154" s="463"/>
      <c r="M154" s="463"/>
      <c r="N154" s="463"/>
      <c r="O154" s="463"/>
      <c r="P154" s="463"/>
      <c r="Q154" s="463"/>
      <c r="R154" s="463"/>
      <c r="S154" s="463"/>
      <c r="T154" s="463"/>
      <c r="U154" s="463"/>
      <c r="V154" s="463"/>
      <c r="W154" s="463"/>
      <c r="X154" s="463"/>
      <c r="Y154" s="463"/>
      <c r="Z154" s="463"/>
      <c r="AA154" s="463"/>
      <c r="AB154" s="463"/>
      <c r="AC154" s="463"/>
      <c r="AD154" s="463"/>
      <c r="AE154" s="463"/>
      <c r="AF154" s="463"/>
      <c r="AG154" s="463"/>
      <c r="AH154" s="167"/>
    </row>
    <row r="155" spans="1:34" s="168" customFormat="1" ht="13.8" thickTop="1" x14ac:dyDescent="0.25">
      <c r="A155" s="450" t="s">
        <v>0</v>
      </c>
      <c r="B155" s="452" t="s">
        <v>119</v>
      </c>
      <c r="C155" s="452"/>
      <c r="D155" s="452"/>
      <c r="E155" s="452"/>
      <c r="F155" s="452"/>
      <c r="G155" s="452"/>
      <c r="H155" s="452"/>
      <c r="I155" s="452" t="s">
        <v>378</v>
      </c>
      <c r="J155" s="452"/>
      <c r="K155" s="452"/>
      <c r="L155" s="452"/>
      <c r="M155" s="452"/>
      <c r="N155" s="452"/>
      <c r="O155" s="452"/>
      <c r="P155" s="452" t="s">
        <v>120</v>
      </c>
      <c r="Q155" s="452"/>
      <c r="R155" s="452"/>
      <c r="S155" s="452"/>
      <c r="T155" s="452"/>
      <c r="U155" s="452"/>
      <c r="V155" s="452" t="s">
        <v>377</v>
      </c>
      <c r="W155" s="452"/>
      <c r="X155" s="452"/>
      <c r="Y155" s="452"/>
      <c r="Z155" s="452"/>
      <c r="AA155" s="452"/>
      <c r="AB155" s="452" t="s">
        <v>121</v>
      </c>
      <c r="AC155" s="452"/>
      <c r="AD155" s="452"/>
      <c r="AE155" s="452"/>
      <c r="AF155" s="452"/>
      <c r="AG155" s="453"/>
      <c r="AH155" s="10"/>
    </row>
    <row r="156" spans="1:34" s="168" customFormat="1" x14ac:dyDescent="0.25">
      <c r="A156" s="451"/>
      <c r="B156" s="444" t="s">
        <v>2</v>
      </c>
      <c r="C156" s="445" t="s">
        <v>3</v>
      </c>
      <c r="D156" s="445"/>
      <c r="E156" s="445"/>
      <c r="F156" s="445"/>
      <c r="G156" s="445"/>
      <c r="H156" s="445"/>
      <c r="I156" s="444" t="s">
        <v>2</v>
      </c>
      <c r="J156" s="11"/>
      <c r="K156" s="445" t="s">
        <v>3</v>
      </c>
      <c r="L156" s="445"/>
      <c r="M156" s="445"/>
      <c r="N156" s="445"/>
      <c r="O156" s="445"/>
      <c r="P156" s="444" t="s">
        <v>2</v>
      </c>
      <c r="Q156" s="445" t="s">
        <v>4</v>
      </c>
      <c r="R156" s="445"/>
      <c r="S156" s="445"/>
      <c r="T156" s="445"/>
      <c r="U156" s="445"/>
      <c r="V156" s="444" t="s">
        <v>2</v>
      </c>
      <c r="W156" s="445" t="s">
        <v>4</v>
      </c>
      <c r="X156" s="445"/>
      <c r="Y156" s="445"/>
      <c r="Z156" s="445"/>
      <c r="AA156" s="445"/>
      <c r="AB156" s="444" t="s">
        <v>2</v>
      </c>
      <c r="AC156" s="445" t="s">
        <v>4</v>
      </c>
      <c r="AD156" s="445"/>
      <c r="AE156" s="445"/>
      <c r="AF156" s="445"/>
      <c r="AG156" s="459"/>
      <c r="AH156" s="10"/>
    </row>
    <row r="157" spans="1:34" s="168" customFormat="1" x14ac:dyDescent="0.25">
      <c r="A157" s="451"/>
      <c r="B157" s="444"/>
      <c r="C157" s="462" t="s">
        <v>5</v>
      </c>
      <c r="D157" s="444" t="s">
        <v>6</v>
      </c>
      <c r="E157" s="444" t="s">
        <v>7</v>
      </c>
      <c r="F157" s="447" t="s">
        <v>8</v>
      </c>
      <c r="G157" s="447"/>
      <c r="H157" s="447"/>
      <c r="I157" s="444"/>
      <c r="J157" s="462" t="s">
        <v>5</v>
      </c>
      <c r="K157" s="444" t="s">
        <v>6</v>
      </c>
      <c r="L157" s="444" t="s">
        <v>7</v>
      </c>
      <c r="M157" s="447" t="s">
        <v>8</v>
      </c>
      <c r="N157" s="447"/>
      <c r="O157" s="447"/>
      <c r="P157" s="444"/>
      <c r="Q157" s="444" t="s">
        <v>6</v>
      </c>
      <c r="R157" s="446" t="s">
        <v>7</v>
      </c>
      <c r="S157" s="447" t="s">
        <v>8</v>
      </c>
      <c r="T157" s="447"/>
      <c r="U157" s="447"/>
      <c r="V157" s="444"/>
      <c r="W157" s="444" t="s">
        <v>6</v>
      </c>
      <c r="X157" s="446" t="s">
        <v>7</v>
      </c>
      <c r="Y157" s="447" t="s">
        <v>8</v>
      </c>
      <c r="Z157" s="447"/>
      <c r="AA157" s="447"/>
      <c r="AB157" s="444"/>
      <c r="AC157" s="446" t="s">
        <v>6</v>
      </c>
      <c r="AD157" s="446" t="s">
        <v>7</v>
      </c>
      <c r="AE157" s="457" t="s">
        <v>8</v>
      </c>
      <c r="AF157" s="457"/>
      <c r="AG157" s="458"/>
      <c r="AH157" s="12"/>
    </row>
    <row r="158" spans="1:34" s="168" customFormat="1" ht="48" customHeight="1" x14ac:dyDescent="0.25">
      <c r="A158" s="451"/>
      <c r="B158" s="444"/>
      <c r="C158" s="462"/>
      <c r="D158" s="444"/>
      <c r="E158" s="444"/>
      <c r="F158" s="13" t="s">
        <v>9</v>
      </c>
      <c r="G158" s="13" t="s">
        <v>10</v>
      </c>
      <c r="H158" s="13" t="s">
        <v>11</v>
      </c>
      <c r="I158" s="444"/>
      <c r="J158" s="462"/>
      <c r="K158" s="444"/>
      <c r="L158" s="444"/>
      <c r="M158" s="13" t="s">
        <v>9</v>
      </c>
      <c r="N158" s="13" t="s">
        <v>10</v>
      </c>
      <c r="O158" s="13" t="s">
        <v>11</v>
      </c>
      <c r="P158" s="444"/>
      <c r="Q158" s="444"/>
      <c r="R158" s="446"/>
      <c r="S158" s="13" t="s">
        <v>9</v>
      </c>
      <c r="T158" s="13" t="s">
        <v>10</v>
      </c>
      <c r="U158" s="13" t="s">
        <v>11</v>
      </c>
      <c r="V158" s="444"/>
      <c r="W158" s="444"/>
      <c r="X158" s="446"/>
      <c r="Y158" s="13" t="s">
        <v>9</v>
      </c>
      <c r="Z158" s="13" t="s">
        <v>10</v>
      </c>
      <c r="AA158" s="13" t="s">
        <v>11</v>
      </c>
      <c r="AB158" s="444"/>
      <c r="AC158" s="446"/>
      <c r="AD158" s="446"/>
      <c r="AE158" s="14" t="s">
        <v>9</v>
      </c>
      <c r="AF158" s="14" t="s">
        <v>10</v>
      </c>
      <c r="AG158" s="15" t="s">
        <v>12</v>
      </c>
      <c r="AH158" s="16"/>
    </row>
    <row r="159" spans="1:34" s="42" customFormat="1" ht="26.4" x14ac:dyDescent="0.25">
      <c r="A159" s="35" t="s">
        <v>131</v>
      </c>
      <c r="B159" s="170">
        <f>D159+E159</f>
        <v>3294839205.3000002</v>
      </c>
      <c r="C159" s="171"/>
      <c r="D159" s="171">
        <v>2513267862.5599999</v>
      </c>
      <c r="E159" s="170">
        <f>F159+G159+H159</f>
        <v>781571342.74000001</v>
      </c>
      <c r="F159" s="171">
        <v>260488923.30000001</v>
      </c>
      <c r="G159" s="171">
        <v>302247654.58999997</v>
      </c>
      <c r="H159" s="171">
        <v>218834764.85000002</v>
      </c>
      <c r="I159" s="170">
        <f>K159+L159</f>
        <v>2198342988.4899998</v>
      </c>
      <c r="J159" s="171"/>
      <c r="K159" s="171">
        <v>753803860.22000003</v>
      </c>
      <c r="L159" s="170">
        <f>M159+N159+O159</f>
        <v>1444539128.27</v>
      </c>
      <c r="M159" s="171">
        <v>627791332.72000003</v>
      </c>
      <c r="N159" s="171">
        <v>657268070.03999996</v>
      </c>
      <c r="O159" s="171">
        <v>159479725.50999999</v>
      </c>
      <c r="P159" s="38">
        <f>B159/1000000</f>
        <v>3294.8392053000002</v>
      </c>
      <c r="Q159" s="38">
        <f t="shared" ref="Q159:V161" si="110">D159/1000000</f>
        <v>2513.2678625600001</v>
      </c>
      <c r="R159" s="38">
        <f t="shared" si="110"/>
        <v>781.57134273999998</v>
      </c>
      <c r="S159" s="38">
        <f t="shared" si="110"/>
        <v>260.48892330000001</v>
      </c>
      <c r="T159" s="38">
        <f t="shared" si="110"/>
        <v>302.24765458999997</v>
      </c>
      <c r="U159" s="38">
        <f t="shared" si="110"/>
        <v>218.83476485000003</v>
      </c>
      <c r="V159" s="38">
        <f t="shared" si="110"/>
        <v>2198.3429884899997</v>
      </c>
      <c r="W159" s="38">
        <f t="shared" ref="W159:AA162" si="111">K159/1000000</f>
        <v>753.80386022000005</v>
      </c>
      <c r="X159" s="38">
        <f t="shared" si="111"/>
        <v>1444.53912827</v>
      </c>
      <c r="Y159" s="38">
        <f t="shared" si="111"/>
        <v>627.79133272000001</v>
      </c>
      <c r="Z159" s="38">
        <f t="shared" si="111"/>
        <v>657.26807004</v>
      </c>
      <c r="AA159" s="38">
        <f t="shared" si="111"/>
        <v>159.47972550999998</v>
      </c>
      <c r="AB159" s="38">
        <f>V159-P159</f>
        <v>-1096.4962168100005</v>
      </c>
      <c r="AC159" s="38">
        <f>W159-Q159</f>
        <v>-1759.4640023400002</v>
      </c>
      <c r="AD159" s="38">
        <f>X159-R159</f>
        <v>662.96778553000001</v>
      </c>
      <c r="AE159" s="38">
        <f t="shared" ref="AE159:AG162" si="112">Y159-S159</f>
        <v>367.30240942</v>
      </c>
      <c r="AF159" s="38">
        <f t="shared" si="112"/>
        <v>355.02041545000003</v>
      </c>
      <c r="AG159" s="39">
        <f t="shared" si="112"/>
        <v>-59.355039340000047</v>
      </c>
      <c r="AH159" s="40"/>
    </row>
    <row r="160" spans="1:34" x14ac:dyDescent="0.25">
      <c r="A160" s="108" t="s">
        <v>122</v>
      </c>
      <c r="B160" s="172">
        <f>D160+E160</f>
        <v>212292841.52000001</v>
      </c>
      <c r="C160" s="25"/>
      <c r="D160" s="131">
        <v>137985.51999999999</v>
      </c>
      <c r="E160" s="172">
        <f t="shared" ref="E160:E167" si="113">F160+G160+H160</f>
        <v>212154856</v>
      </c>
      <c r="F160" s="25">
        <v>37540806.210000001</v>
      </c>
      <c r="G160" s="25">
        <v>59811440.700000003</v>
      </c>
      <c r="H160" s="25">
        <v>114802609.08999999</v>
      </c>
      <c r="I160" s="172">
        <f>K160+L160</f>
        <v>69702075.019999996</v>
      </c>
      <c r="J160" s="25"/>
      <c r="K160" s="131">
        <v>4379765.2699999996</v>
      </c>
      <c r="L160" s="172">
        <f t="shared" ref="L160:L167" si="114">M160+N160+O160</f>
        <v>65322309.75</v>
      </c>
      <c r="M160" s="25">
        <v>1253809.2</v>
      </c>
      <c r="N160" s="25">
        <v>22619022.84</v>
      </c>
      <c r="O160" s="25">
        <v>41449477.710000001</v>
      </c>
      <c r="P160" s="33">
        <f>B160/1000000</f>
        <v>212.29284152000002</v>
      </c>
      <c r="Q160" s="33">
        <f t="shared" si="110"/>
        <v>0.13798552</v>
      </c>
      <c r="R160" s="33">
        <f t="shared" si="110"/>
        <v>212.154856</v>
      </c>
      <c r="S160" s="33">
        <f t="shared" si="110"/>
        <v>37.54080621</v>
      </c>
      <c r="T160" s="33">
        <f t="shared" si="110"/>
        <v>59.811440700000006</v>
      </c>
      <c r="U160" s="33">
        <f t="shared" si="110"/>
        <v>114.80260908999999</v>
      </c>
      <c r="V160" s="32">
        <f t="shared" si="110"/>
        <v>69.702075019999995</v>
      </c>
      <c r="W160" s="32">
        <f t="shared" si="111"/>
        <v>4.3797652699999992</v>
      </c>
      <c r="X160" s="32">
        <f t="shared" si="111"/>
        <v>65.322309750000002</v>
      </c>
      <c r="Y160" s="32">
        <f t="shared" si="111"/>
        <v>1.2538091999999998</v>
      </c>
      <c r="Z160" s="32">
        <f t="shared" si="111"/>
        <v>22.61902284</v>
      </c>
      <c r="AA160" s="32">
        <f t="shared" si="111"/>
        <v>41.449477710000004</v>
      </c>
      <c r="AB160" s="32">
        <f t="shared" ref="AB160:AG167" si="115">V160-P160</f>
        <v>-142.59076650000003</v>
      </c>
      <c r="AC160" s="32">
        <f t="shared" si="115"/>
        <v>4.2417797499999992</v>
      </c>
      <c r="AD160" s="32">
        <f t="shared" si="115"/>
        <v>-146.83254625000001</v>
      </c>
      <c r="AE160" s="32">
        <f t="shared" si="112"/>
        <v>-36.28699701</v>
      </c>
      <c r="AF160" s="32">
        <f t="shared" si="112"/>
        <v>-37.192417860000006</v>
      </c>
      <c r="AG160" s="34">
        <f t="shared" si="112"/>
        <v>-73.353131379999979</v>
      </c>
      <c r="AH160" s="30"/>
    </row>
    <row r="161" spans="1:37" x14ac:dyDescent="0.25">
      <c r="A161" s="108" t="s">
        <v>123</v>
      </c>
      <c r="B161" s="172">
        <f>D161+E161</f>
        <v>74274706.61999999</v>
      </c>
      <c r="C161" s="25"/>
      <c r="D161" s="173">
        <v>137985.51999999999</v>
      </c>
      <c r="E161" s="172">
        <f t="shared" si="113"/>
        <v>74136721.099999994</v>
      </c>
      <c r="F161" s="25">
        <v>29525567.52</v>
      </c>
      <c r="G161" s="25">
        <v>44605367</v>
      </c>
      <c r="H161" s="131">
        <v>5786.58</v>
      </c>
      <c r="I161" s="172">
        <f>K161+L161</f>
        <v>9635867.959999999</v>
      </c>
      <c r="J161" s="25"/>
      <c r="K161" s="173">
        <v>4379765.2699999996</v>
      </c>
      <c r="L161" s="172">
        <f t="shared" si="114"/>
        <v>5256102.6899999995</v>
      </c>
      <c r="M161" s="25">
        <v>3738.96</v>
      </c>
      <c r="N161" s="25">
        <v>460478.39</v>
      </c>
      <c r="O161" s="131">
        <v>4791885.34</v>
      </c>
      <c r="P161" s="33">
        <f>B161/1000000</f>
        <v>74.274706619999989</v>
      </c>
      <c r="Q161" s="33">
        <f t="shared" si="110"/>
        <v>0.13798552</v>
      </c>
      <c r="R161" s="33">
        <f t="shared" si="110"/>
        <v>74.136721099999988</v>
      </c>
      <c r="S161" s="33">
        <f t="shared" si="110"/>
        <v>29.525567519999999</v>
      </c>
      <c r="T161" s="33">
        <f t="shared" si="110"/>
        <v>44.605367000000001</v>
      </c>
      <c r="U161" s="33">
        <f t="shared" si="110"/>
        <v>5.7865799999999995E-3</v>
      </c>
      <c r="V161" s="32">
        <f t="shared" si="110"/>
        <v>9.6358679599999988</v>
      </c>
      <c r="W161" s="32">
        <f t="shared" si="111"/>
        <v>4.3797652699999992</v>
      </c>
      <c r="X161" s="32">
        <f t="shared" si="111"/>
        <v>5.2561026899999996</v>
      </c>
      <c r="Y161" s="32">
        <f t="shared" si="111"/>
        <v>3.7389599999999999E-3</v>
      </c>
      <c r="Z161" s="32">
        <f t="shared" si="111"/>
        <v>0.46047839000000002</v>
      </c>
      <c r="AA161" s="32">
        <f t="shared" si="111"/>
        <v>4.7918853399999994</v>
      </c>
      <c r="AB161" s="32">
        <f t="shared" si="115"/>
        <v>-64.63883865999999</v>
      </c>
      <c r="AC161" s="32">
        <f t="shared" si="115"/>
        <v>4.2417797499999992</v>
      </c>
      <c r="AD161" s="32">
        <f t="shared" si="115"/>
        <v>-68.880618409999983</v>
      </c>
      <c r="AE161" s="32">
        <f t="shared" si="112"/>
        <v>-29.521828559999999</v>
      </c>
      <c r="AF161" s="32">
        <f t="shared" si="112"/>
        <v>-44.144888610000002</v>
      </c>
      <c r="AG161" s="34">
        <f t="shared" si="112"/>
        <v>4.7860987599999998</v>
      </c>
      <c r="AH161" s="30"/>
    </row>
    <row r="162" spans="1:37" x14ac:dyDescent="0.25">
      <c r="A162" s="108" t="s">
        <v>124</v>
      </c>
      <c r="B162" s="172">
        <f>E162</f>
        <v>138018134.90000001</v>
      </c>
      <c r="C162" s="25"/>
      <c r="D162" s="25"/>
      <c r="E162" s="172">
        <f t="shared" si="113"/>
        <v>138018134.90000001</v>
      </c>
      <c r="F162" s="174">
        <f>F160-F161</f>
        <v>8015238.6900000013</v>
      </c>
      <c r="G162" s="174">
        <f>G160-G161</f>
        <v>15206073.700000003</v>
      </c>
      <c r="H162" s="174">
        <f>H160-H161</f>
        <v>114796822.50999999</v>
      </c>
      <c r="I162" s="172">
        <f>L162</f>
        <v>60066207.060000002</v>
      </c>
      <c r="J162" s="25"/>
      <c r="K162" s="25"/>
      <c r="L162" s="172">
        <f t="shared" si="114"/>
        <v>60066207.060000002</v>
      </c>
      <c r="M162" s="174">
        <f>M160-M161</f>
        <v>1250070.24</v>
      </c>
      <c r="N162" s="174">
        <f>N160-N161</f>
        <v>22158544.449999999</v>
      </c>
      <c r="O162" s="174">
        <f>O160-O161</f>
        <v>36657592.370000005</v>
      </c>
      <c r="P162" s="33">
        <f>B162/1000000</f>
        <v>138.01813490000001</v>
      </c>
      <c r="Q162" s="33"/>
      <c r="R162" s="33">
        <f>E162/1000000</f>
        <v>138.01813490000001</v>
      </c>
      <c r="S162" s="33">
        <f>F162/1000000</f>
        <v>8.0152386900000021</v>
      </c>
      <c r="T162" s="33">
        <f>G162/1000000</f>
        <v>15.206073700000003</v>
      </c>
      <c r="U162" s="33">
        <f>H162/1000000</f>
        <v>114.79682250999998</v>
      </c>
      <c r="V162" s="32">
        <f>I162/1000000</f>
        <v>60.066207060000004</v>
      </c>
      <c r="W162" s="32"/>
      <c r="X162" s="32">
        <f>L162/1000000</f>
        <v>60.066207060000004</v>
      </c>
      <c r="Y162" s="32">
        <f>M162/1000000</f>
        <v>1.2500702399999999</v>
      </c>
      <c r="Z162" s="32">
        <f t="shared" si="111"/>
        <v>22.158544450000001</v>
      </c>
      <c r="AA162" s="32">
        <f t="shared" si="111"/>
        <v>36.657592370000003</v>
      </c>
      <c r="AB162" s="32">
        <f t="shared" si="115"/>
        <v>-77.951927839999996</v>
      </c>
      <c r="AC162" s="54" t="s">
        <v>30</v>
      </c>
      <c r="AD162" s="32">
        <f t="shared" si="115"/>
        <v>-77.951927839999996</v>
      </c>
      <c r="AE162" s="32">
        <f t="shared" si="112"/>
        <v>-6.7651684500000027</v>
      </c>
      <c r="AF162" s="32">
        <f t="shared" si="112"/>
        <v>6.952470749999998</v>
      </c>
      <c r="AG162" s="34">
        <f t="shared" si="112"/>
        <v>-78.139230139999981</v>
      </c>
      <c r="AH162" s="30"/>
    </row>
    <row r="163" spans="1:37" s="42" customFormat="1" ht="26.4" x14ac:dyDescent="0.25">
      <c r="A163" s="35" t="s">
        <v>227</v>
      </c>
      <c r="B163" s="170">
        <f>D163+E163</f>
        <v>366441024.36000001</v>
      </c>
      <c r="C163" s="175"/>
      <c r="D163" s="175"/>
      <c r="E163" s="170">
        <f t="shared" si="113"/>
        <v>366441024.36000001</v>
      </c>
      <c r="F163" s="171">
        <v>57944218.700000003</v>
      </c>
      <c r="G163" s="171">
        <v>193333567.62000003</v>
      </c>
      <c r="H163" s="171">
        <v>115163238.03999999</v>
      </c>
      <c r="I163" s="170">
        <f>K163+L163</f>
        <v>425163549.30000001</v>
      </c>
      <c r="J163" s="175"/>
      <c r="K163" s="175">
        <v>145671.79999999999</v>
      </c>
      <c r="L163" s="170">
        <f t="shared" si="114"/>
        <v>425017877.5</v>
      </c>
      <c r="M163" s="171">
        <v>75857225.900000006</v>
      </c>
      <c r="N163" s="171">
        <v>228114445.19999999</v>
      </c>
      <c r="O163" s="171">
        <v>121046206.39999999</v>
      </c>
      <c r="P163" s="38">
        <f t="shared" ref="P163:P167" si="116">B163/1000000</f>
        <v>366.44102436000003</v>
      </c>
      <c r="Q163" s="38">
        <f t="shared" ref="Q163:V167" si="117">D163/1000000</f>
        <v>0</v>
      </c>
      <c r="R163" s="38">
        <f t="shared" si="117"/>
        <v>366.44102436000003</v>
      </c>
      <c r="S163" s="38">
        <f t="shared" si="117"/>
        <v>57.9442187</v>
      </c>
      <c r="T163" s="38">
        <f t="shared" si="117"/>
        <v>193.33356762000003</v>
      </c>
      <c r="U163" s="38">
        <f t="shared" si="117"/>
        <v>115.16323804</v>
      </c>
      <c r="V163" s="38">
        <f t="shared" si="117"/>
        <v>425.1635493</v>
      </c>
      <c r="W163" s="38">
        <f t="shared" ref="W163:AA167" si="118">K163/1000000</f>
        <v>0.14567179999999999</v>
      </c>
      <c r="X163" s="38">
        <f t="shared" si="118"/>
        <v>425.0178775</v>
      </c>
      <c r="Y163" s="38">
        <f t="shared" si="118"/>
        <v>75.857225900000003</v>
      </c>
      <c r="Z163" s="38">
        <f t="shared" si="118"/>
        <v>228.11444519999998</v>
      </c>
      <c r="AA163" s="38">
        <f t="shared" si="118"/>
        <v>121.04620639999999</v>
      </c>
      <c r="AB163" s="38">
        <f t="shared" si="115"/>
        <v>58.722524939999971</v>
      </c>
      <c r="AC163" s="38">
        <f t="shared" si="115"/>
        <v>0.14567179999999999</v>
      </c>
      <c r="AD163" s="38">
        <f t="shared" si="115"/>
        <v>58.576853139999969</v>
      </c>
      <c r="AE163" s="38">
        <f t="shared" si="115"/>
        <v>17.913007200000003</v>
      </c>
      <c r="AF163" s="38">
        <f t="shared" si="115"/>
        <v>34.780877579999952</v>
      </c>
      <c r="AG163" s="39">
        <f t="shared" si="115"/>
        <v>5.8829683599999925</v>
      </c>
      <c r="AH163" s="40"/>
      <c r="AI163" s="3">
        <f t="shared" ref="AI163:AI167" si="119">AD163*1000</f>
        <v>58576.85313999997</v>
      </c>
      <c r="AJ163" s="68">
        <f>V163/P163%-100</f>
        <v>16.025095727903434</v>
      </c>
      <c r="AK163" s="68">
        <f>X163/R163%-100</f>
        <v>15.985342591568767</v>
      </c>
    </row>
    <row r="164" spans="1:37" s="42" customFormat="1" x14ac:dyDescent="0.25">
      <c r="A164" s="35" t="s">
        <v>125</v>
      </c>
      <c r="B164" s="170">
        <f>D164+E164-C164</f>
        <v>44335578640.080002</v>
      </c>
      <c r="C164" s="176">
        <f>C165</f>
        <v>711466665</v>
      </c>
      <c r="D164" s="176">
        <f>D165+D166+D167</f>
        <v>41015372215.080002</v>
      </c>
      <c r="E164" s="170">
        <f t="shared" si="113"/>
        <v>4031673090</v>
      </c>
      <c r="F164" s="176">
        <f>F165+F166+F167</f>
        <v>3675514090</v>
      </c>
      <c r="G164" s="176">
        <f>G165+G166+G167</f>
        <v>331559000</v>
      </c>
      <c r="H164" s="176">
        <f>H165+H166+H167</f>
        <v>24600000</v>
      </c>
      <c r="I164" s="170">
        <f>K164+L164-J164</f>
        <v>40490517457.080002</v>
      </c>
      <c r="J164" s="176">
        <f>J165</f>
        <v>711466665</v>
      </c>
      <c r="K164" s="176">
        <f>K165+K166+K167</f>
        <v>37436617033.080002</v>
      </c>
      <c r="L164" s="170">
        <f t="shared" si="114"/>
        <v>3765367089</v>
      </c>
      <c r="M164" s="176">
        <f>M165+M166+M167</f>
        <v>3409780089</v>
      </c>
      <c r="N164" s="176">
        <f>N165+N166+N167</f>
        <v>334987000</v>
      </c>
      <c r="O164" s="176">
        <f>O165+O166+O167</f>
        <v>20600000</v>
      </c>
      <c r="P164" s="38">
        <f t="shared" si="116"/>
        <v>44335.578640079999</v>
      </c>
      <c r="Q164" s="38">
        <f t="shared" si="117"/>
        <v>41015.372215080002</v>
      </c>
      <c r="R164" s="38">
        <f t="shared" si="117"/>
        <v>4031.6730899999998</v>
      </c>
      <c r="S164" s="38">
        <f t="shared" si="117"/>
        <v>3675.5140900000001</v>
      </c>
      <c r="T164" s="38">
        <f t="shared" si="117"/>
        <v>331.55900000000003</v>
      </c>
      <c r="U164" s="38">
        <f t="shared" si="117"/>
        <v>24.6</v>
      </c>
      <c r="V164" s="38">
        <f t="shared" si="117"/>
        <v>40490.517457080001</v>
      </c>
      <c r="W164" s="38">
        <f t="shared" si="118"/>
        <v>37436.617033080001</v>
      </c>
      <c r="X164" s="38">
        <f t="shared" si="118"/>
        <v>3765.3670889999999</v>
      </c>
      <c r="Y164" s="38">
        <f t="shared" si="118"/>
        <v>3409.7800889999999</v>
      </c>
      <c r="Z164" s="38">
        <f t="shared" si="118"/>
        <v>334.98700000000002</v>
      </c>
      <c r="AA164" s="38">
        <f t="shared" si="118"/>
        <v>20.6</v>
      </c>
      <c r="AB164" s="38">
        <f t="shared" si="115"/>
        <v>-3845.061182999998</v>
      </c>
      <c r="AC164" s="38">
        <f t="shared" si="115"/>
        <v>-3578.7551820000008</v>
      </c>
      <c r="AD164" s="38">
        <f t="shared" si="115"/>
        <v>-266.30600099999992</v>
      </c>
      <c r="AE164" s="38">
        <f t="shared" si="115"/>
        <v>-265.73400100000026</v>
      </c>
      <c r="AF164" s="38">
        <f t="shared" si="115"/>
        <v>3.4279999999999973</v>
      </c>
      <c r="AG164" s="39">
        <f t="shared" si="115"/>
        <v>-4</v>
      </c>
      <c r="AH164" s="40"/>
      <c r="AI164" s="3">
        <f t="shared" si="119"/>
        <v>-266306.00099999993</v>
      </c>
      <c r="AJ164" s="68"/>
    </row>
    <row r="165" spans="1:37" x14ac:dyDescent="0.25">
      <c r="A165" s="43" t="s">
        <v>126</v>
      </c>
      <c r="B165" s="172">
        <f>D165+E165-C165</f>
        <v>19970648015.080002</v>
      </c>
      <c r="C165" s="191">
        <v>711466665</v>
      </c>
      <c r="D165" s="131">
        <v>19970648015.080002</v>
      </c>
      <c r="E165" s="172">
        <f t="shared" si="113"/>
        <v>711466665</v>
      </c>
      <c r="F165" s="131">
        <v>711466665</v>
      </c>
      <c r="G165" s="131"/>
      <c r="H165" s="131"/>
      <c r="I165" s="172">
        <f>K165+L165-J165</f>
        <v>23683037015.080002</v>
      </c>
      <c r="J165" s="25">
        <v>711466665</v>
      </c>
      <c r="K165" s="131">
        <v>23272971015.080002</v>
      </c>
      <c r="L165" s="172">
        <f t="shared" si="114"/>
        <v>1121532665</v>
      </c>
      <c r="M165" s="131">
        <v>1102732665</v>
      </c>
      <c r="N165" s="131">
        <v>18800000</v>
      </c>
      <c r="O165" s="131">
        <v>0</v>
      </c>
      <c r="P165" s="32">
        <f t="shared" si="116"/>
        <v>19970.648015080002</v>
      </c>
      <c r="Q165" s="32">
        <f t="shared" si="117"/>
        <v>19970.648015080002</v>
      </c>
      <c r="R165" s="32">
        <f t="shared" si="117"/>
        <v>711.46666500000003</v>
      </c>
      <c r="S165" s="32">
        <f t="shared" si="117"/>
        <v>711.46666500000003</v>
      </c>
      <c r="T165" s="32">
        <f t="shared" si="117"/>
        <v>0</v>
      </c>
      <c r="U165" s="32">
        <f t="shared" si="117"/>
        <v>0</v>
      </c>
      <c r="V165" s="32">
        <f t="shared" si="117"/>
        <v>23683.037015080001</v>
      </c>
      <c r="W165" s="32">
        <f>K165/1000000</f>
        <v>23272.971015080002</v>
      </c>
      <c r="X165" s="32">
        <f t="shared" si="118"/>
        <v>1121.532665</v>
      </c>
      <c r="Y165" s="32">
        <f t="shared" si="118"/>
        <v>1102.732665</v>
      </c>
      <c r="Z165" s="32">
        <f t="shared" si="118"/>
        <v>18.8</v>
      </c>
      <c r="AA165" s="32">
        <f t="shared" si="118"/>
        <v>0</v>
      </c>
      <c r="AB165" s="32">
        <f t="shared" si="115"/>
        <v>3712.3889999999992</v>
      </c>
      <c r="AC165" s="32">
        <f t="shared" si="115"/>
        <v>3302.3230000000003</v>
      </c>
      <c r="AD165" s="32">
        <f t="shared" si="115"/>
        <v>410.06599999999992</v>
      </c>
      <c r="AE165" s="32">
        <f t="shared" si="115"/>
        <v>391.26599999999996</v>
      </c>
      <c r="AF165" s="32">
        <f t="shared" si="115"/>
        <v>18.8</v>
      </c>
      <c r="AG165" s="34">
        <f t="shared" si="115"/>
        <v>0</v>
      </c>
      <c r="AH165" s="30"/>
      <c r="AI165" s="3">
        <f t="shared" si="119"/>
        <v>410065.99999999994</v>
      </c>
    </row>
    <row r="166" spans="1:37" x14ac:dyDescent="0.25">
      <c r="A166" s="43" t="s">
        <v>127</v>
      </c>
      <c r="B166" s="172">
        <f>D166+E166</f>
        <v>23924930625</v>
      </c>
      <c r="C166" s="25"/>
      <c r="D166" s="131">
        <v>20604724200</v>
      </c>
      <c r="E166" s="172">
        <f t="shared" si="113"/>
        <v>3320206425</v>
      </c>
      <c r="F166" s="25">
        <v>2964047425</v>
      </c>
      <c r="G166" s="25">
        <v>331559000</v>
      </c>
      <c r="H166" s="25">
        <v>24600000</v>
      </c>
      <c r="I166" s="172">
        <f>K166+L166</f>
        <v>16367480442</v>
      </c>
      <c r="J166" s="25"/>
      <c r="K166" s="131">
        <v>13723646018</v>
      </c>
      <c r="L166" s="172">
        <f t="shared" si="114"/>
        <v>2643834424</v>
      </c>
      <c r="M166" s="25">
        <v>2307047424</v>
      </c>
      <c r="N166" s="25">
        <v>316187000</v>
      </c>
      <c r="O166" s="25">
        <v>20600000</v>
      </c>
      <c r="P166" s="32">
        <f t="shared" si="116"/>
        <v>23924.930625000001</v>
      </c>
      <c r="Q166" s="32">
        <f t="shared" si="117"/>
        <v>20604.724200000001</v>
      </c>
      <c r="R166" s="32">
        <f t="shared" si="117"/>
        <v>3320.2064249999999</v>
      </c>
      <c r="S166" s="32">
        <f t="shared" si="117"/>
        <v>2964.0474250000002</v>
      </c>
      <c r="T166" s="32">
        <f t="shared" si="117"/>
        <v>331.55900000000003</v>
      </c>
      <c r="U166" s="32">
        <f t="shared" si="117"/>
        <v>24.6</v>
      </c>
      <c r="V166" s="32">
        <f t="shared" si="117"/>
        <v>16367.480442</v>
      </c>
      <c r="W166" s="32">
        <f t="shared" si="118"/>
        <v>13723.646017999999</v>
      </c>
      <c r="X166" s="32">
        <f t="shared" si="118"/>
        <v>2643.8344240000001</v>
      </c>
      <c r="Y166" s="32">
        <f t="shared" si="118"/>
        <v>2307.0474239999999</v>
      </c>
      <c r="Z166" s="32">
        <f t="shared" si="118"/>
        <v>316.18700000000001</v>
      </c>
      <c r="AA166" s="32">
        <f t="shared" si="118"/>
        <v>20.6</v>
      </c>
      <c r="AB166" s="32">
        <f t="shared" si="115"/>
        <v>-7557.4501830000008</v>
      </c>
      <c r="AC166" s="32">
        <f t="shared" si="115"/>
        <v>-6881.0781820000011</v>
      </c>
      <c r="AD166" s="32">
        <f t="shared" si="115"/>
        <v>-676.37200099999973</v>
      </c>
      <c r="AE166" s="32">
        <f t="shared" si="115"/>
        <v>-657.00000100000034</v>
      </c>
      <c r="AF166" s="32">
        <f t="shared" si="115"/>
        <v>-15.372000000000014</v>
      </c>
      <c r="AG166" s="34">
        <f t="shared" si="115"/>
        <v>-4</v>
      </c>
      <c r="AH166" s="30"/>
      <c r="AI166" s="3">
        <f t="shared" si="119"/>
        <v>-676372.0009999997</v>
      </c>
    </row>
    <row r="167" spans="1:37" ht="13.8" thickBot="1" x14ac:dyDescent="0.3">
      <c r="A167" s="156" t="s">
        <v>128</v>
      </c>
      <c r="B167" s="177">
        <f>D167+E167</f>
        <v>440000000</v>
      </c>
      <c r="C167" s="178"/>
      <c r="D167" s="179">
        <v>440000000</v>
      </c>
      <c r="E167" s="177">
        <f t="shared" si="113"/>
        <v>0</v>
      </c>
      <c r="F167" s="178"/>
      <c r="G167" s="178"/>
      <c r="H167" s="178"/>
      <c r="I167" s="177">
        <f>K167+L167</f>
        <v>440000000</v>
      </c>
      <c r="J167" s="178"/>
      <c r="K167" s="179">
        <v>440000000</v>
      </c>
      <c r="L167" s="177">
        <f t="shared" si="114"/>
        <v>0</v>
      </c>
      <c r="M167" s="178">
        <v>0</v>
      </c>
      <c r="N167" s="178">
        <v>0</v>
      </c>
      <c r="O167" s="178">
        <v>0</v>
      </c>
      <c r="P167" s="159">
        <f t="shared" si="116"/>
        <v>440</v>
      </c>
      <c r="Q167" s="159">
        <f t="shared" si="117"/>
        <v>440</v>
      </c>
      <c r="R167" s="159">
        <f t="shared" si="117"/>
        <v>0</v>
      </c>
      <c r="S167" s="159">
        <f t="shared" si="117"/>
        <v>0</v>
      </c>
      <c r="T167" s="159">
        <f t="shared" si="117"/>
        <v>0</v>
      </c>
      <c r="U167" s="159">
        <f t="shared" si="117"/>
        <v>0</v>
      </c>
      <c r="V167" s="159">
        <f t="shared" si="117"/>
        <v>440</v>
      </c>
      <c r="W167" s="159">
        <f t="shared" si="118"/>
        <v>440</v>
      </c>
      <c r="X167" s="159">
        <f t="shared" si="118"/>
        <v>0</v>
      </c>
      <c r="Y167" s="159">
        <f t="shared" si="118"/>
        <v>0</v>
      </c>
      <c r="Z167" s="159">
        <f t="shared" si="118"/>
        <v>0</v>
      </c>
      <c r="AA167" s="159">
        <f t="shared" si="118"/>
        <v>0</v>
      </c>
      <c r="AB167" s="159">
        <f t="shared" si="115"/>
        <v>0</v>
      </c>
      <c r="AC167" s="159">
        <f t="shared" si="115"/>
        <v>0</v>
      </c>
      <c r="AD167" s="159">
        <f t="shared" si="115"/>
        <v>0</v>
      </c>
      <c r="AE167" s="159">
        <f t="shared" si="115"/>
        <v>0</v>
      </c>
      <c r="AF167" s="159">
        <f t="shared" si="115"/>
        <v>0</v>
      </c>
      <c r="AG167" s="160">
        <f t="shared" si="115"/>
        <v>0</v>
      </c>
      <c r="AH167" s="30"/>
      <c r="AI167" s="3">
        <f t="shared" si="119"/>
        <v>0</v>
      </c>
    </row>
    <row r="168" spans="1:37" ht="13.8" thickTop="1" x14ac:dyDescent="0.25"/>
    <row r="169" spans="1:37" x14ac:dyDescent="0.25">
      <c r="I169" s="2">
        <v>425163549.31999999</v>
      </c>
      <c r="V169" s="7">
        <f>V164/P164%-100</f>
        <v>-8.6726311033730639</v>
      </c>
      <c r="W169" s="7">
        <f t="shared" ref="W169:X171" si="120">W164/Q164%-100</f>
        <v>-8.7253997433777073</v>
      </c>
      <c r="X169" s="7">
        <f t="shared" si="120"/>
        <v>-6.6053470868095587</v>
      </c>
    </row>
    <row r="170" spans="1:37" x14ac:dyDescent="0.25">
      <c r="I170" s="2">
        <f>I169-I163</f>
        <v>1.9999980926513672E-2</v>
      </c>
      <c r="X170" s="7">
        <f t="shared" si="120"/>
        <v>57.636713028571762</v>
      </c>
    </row>
    <row r="171" spans="1:37" x14ac:dyDescent="0.25">
      <c r="X171" s="7">
        <f t="shared" si="120"/>
        <v>-20.371384017185008</v>
      </c>
    </row>
    <row r="172" spans="1:37" x14ac:dyDescent="0.25">
      <c r="R172" s="7">
        <f>R166/R164%</f>
        <v>82.353066602431298</v>
      </c>
      <c r="X172" s="7">
        <f>X166/X164%</f>
        <v>70.214519899629366</v>
      </c>
      <c r="Y172" s="7">
        <f>X172-R172</f>
        <v>-12.138546702801932</v>
      </c>
    </row>
    <row r="173" spans="1:37" x14ac:dyDescent="0.25">
      <c r="R173" s="7">
        <f>R165/R164%</f>
        <v>17.646933397568702</v>
      </c>
      <c r="T173" s="254">
        <f>(T163+U163)*1000</f>
        <v>308496.80566000001</v>
      </c>
      <c r="V173" s="3">
        <f>V163/P163%-100</f>
        <v>16.025095727903434</v>
      </c>
      <c r="X173" s="7">
        <f>X165/X164%</f>
        <v>29.785480100370631</v>
      </c>
      <c r="Y173" s="7">
        <f>X173-R173</f>
        <v>12.138546702801928</v>
      </c>
      <c r="Z173" s="254">
        <f>(Z163+AA163)*1000</f>
        <v>349160.65159999992</v>
      </c>
    </row>
  </sheetData>
  <mergeCells count="135">
    <mergeCell ref="Q156:U156"/>
    <mergeCell ref="V156:V158"/>
    <mergeCell ref="W156:AA156"/>
    <mergeCell ref="AB156:AB158"/>
    <mergeCell ref="AC156:AG156"/>
    <mergeCell ref="X157:X158"/>
    <mergeCell ref="Y157:AA157"/>
    <mergeCell ref="AC157:AC158"/>
    <mergeCell ref="AD157:AD158"/>
    <mergeCell ref="A155:A158"/>
    <mergeCell ref="B155:H155"/>
    <mergeCell ref="I155:O155"/>
    <mergeCell ref="P155:U155"/>
    <mergeCell ref="V155:AA155"/>
    <mergeCell ref="AB155:AG155"/>
    <mergeCell ref="B156:B158"/>
    <mergeCell ref="C156:H156"/>
    <mergeCell ref="I156:I158"/>
    <mergeCell ref="K156:O156"/>
    <mergeCell ref="AE157:AG157"/>
    <mergeCell ref="L157:L158"/>
    <mergeCell ref="M157:O157"/>
    <mergeCell ref="Q157:Q158"/>
    <mergeCell ref="R157:R158"/>
    <mergeCell ref="S157:U157"/>
    <mergeCell ref="W157:W158"/>
    <mergeCell ref="C157:C158"/>
    <mergeCell ref="D157:D158"/>
    <mergeCell ref="E157:E158"/>
    <mergeCell ref="F157:H157"/>
    <mergeCell ref="J157:J158"/>
    <mergeCell ref="K157:K158"/>
    <mergeCell ref="P156:P158"/>
    <mergeCell ref="A154:AG154"/>
    <mergeCell ref="AB137:AB139"/>
    <mergeCell ref="AC137:AG137"/>
    <mergeCell ref="C138:C139"/>
    <mergeCell ref="D138:D139"/>
    <mergeCell ref="E138:E139"/>
    <mergeCell ref="F138:H138"/>
    <mergeCell ref="J138:J139"/>
    <mergeCell ref="K138:K139"/>
    <mergeCell ref="L138:L139"/>
    <mergeCell ref="M138:O138"/>
    <mergeCell ref="I137:I139"/>
    <mergeCell ref="K137:O137"/>
    <mergeCell ref="P137:P139"/>
    <mergeCell ref="Q137:U137"/>
    <mergeCell ref="V137:V139"/>
    <mergeCell ref="W137:AA137"/>
    <mergeCell ref="Q138:Q139"/>
    <mergeCell ref="R138:R139"/>
    <mergeCell ref="S138:U138"/>
    <mergeCell ref="W138:W139"/>
    <mergeCell ref="A136:A139"/>
    <mergeCell ref="B136:H136"/>
    <mergeCell ref="I136:O136"/>
    <mergeCell ref="P136:U136"/>
    <mergeCell ref="V136:AA136"/>
    <mergeCell ref="AB136:AG136"/>
    <mergeCell ref="B137:B139"/>
    <mergeCell ref="C137:H137"/>
    <mergeCell ref="R48:R49"/>
    <mergeCell ref="S48:U48"/>
    <mergeCell ref="W48:W49"/>
    <mergeCell ref="X48:X49"/>
    <mergeCell ref="Y48:AA48"/>
    <mergeCell ref="AC48:AC49"/>
    <mergeCell ref="X138:X139"/>
    <mergeCell ref="Y138:AA138"/>
    <mergeCell ref="AC138:AC139"/>
    <mergeCell ref="AD138:AD139"/>
    <mergeCell ref="AE138:AG138"/>
    <mergeCell ref="P47:P49"/>
    <mergeCell ref="Q47:U47"/>
    <mergeCell ref="V47:V49"/>
    <mergeCell ref="W47:AA47"/>
    <mergeCell ref="AB47:AB49"/>
    <mergeCell ref="AC47:AG47"/>
    <mergeCell ref="C48:C49"/>
    <mergeCell ref="D48:D49"/>
    <mergeCell ref="E48:E49"/>
    <mergeCell ref="F48:H48"/>
    <mergeCell ref="J48:J49"/>
    <mergeCell ref="K48:K49"/>
    <mergeCell ref="L48:L49"/>
    <mergeCell ref="M48:O48"/>
    <mergeCell ref="Q48:Q49"/>
    <mergeCell ref="AD48:AD49"/>
    <mergeCell ref="AE48:AG48"/>
    <mergeCell ref="A46:A49"/>
    <mergeCell ref="B46:H46"/>
    <mergeCell ref="I46:O46"/>
    <mergeCell ref="P46:U46"/>
    <mergeCell ref="V46:AA46"/>
    <mergeCell ref="AB5:AB7"/>
    <mergeCell ref="AC5:AG5"/>
    <mergeCell ref="C6:C7"/>
    <mergeCell ref="D6:D7"/>
    <mergeCell ref="E6:E7"/>
    <mergeCell ref="F6:H6"/>
    <mergeCell ref="J6:J7"/>
    <mergeCell ref="K6:K7"/>
    <mergeCell ref="L6:L7"/>
    <mergeCell ref="M6:O6"/>
    <mergeCell ref="I5:I7"/>
    <mergeCell ref="K5:O5"/>
    <mergeCell ref="P5:P7"/>
    <mergeCell ref="Q5:U5"/>
    <mergeCell ref="AB46:AG46"/>
    <mergeCell ref="B47:B49"/>
    <mergeCell ref="C47:H47"/>
    <mergeCell ref="I47:I49"/>
    <mergeCell ref="K47:O47"/>
    <mergeCell ref="V5:V7"/>
    <mergeCell ref="W5:AA5"/>
    <mergeCell ref="Q6:Q7"/>
    <mergeCell ref="R6:R7"/>
    <mergeCell ref="S6:U6"/>
    <mergeCell ref="W6:W7"/>
    <mergeCell ref="AD1:AG1"/>
    <mergeCell ref="A2:AG2"/>
    <mergeCell ref="A4:A7"/>
    <mergeCell ref="B4:H4"/>
    <mergeCell ref="I4:O4"/>
    <mergeCell ref="P4:U4"/>
    <mergeCell ref="V4:AA4"/>
    <mergeCell ref="AB4:AG4"/>
    <mergeCell ref="B5:B7"/>
    <mergeCell ref="C5:H5"/>
    <mergeCell ref="X6:X7"/>
    <mergeCell ref="Y6:AA6"/>
    <mergeCell ref="AC6:AC7"/>
    <mergeCell ref="AD6:AD7"/>
    <mergeCell ref="AE6:AG6"/>
  </mergeCells>
  <pageMargins left="0" right="0" top="0.55118110236220474" bottom="0.35433070866141736" header="0.31496062992125984" footer="0.11811023622047245"/>
  <pageSetup paperSize="9" scale="69" fitToHeight="100" orientation="landscape" r:id="rId1"/>
  <headerFooter>
    <oddFooter>&amp;C&amp;8&amp;P</oddFooter>
  </headerFooter>
  <rowBreaks count="2" manualBreakCount="2">
    <brk id="40" max="32" man="1"/>
    <brk id="135" max="3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zoomScale="115" zoomScaleNormal="115" workbookViewId="0">
      <pane xSplit="1" ySplit="9" topLeftCell="B22" activePane="bottomRight" state="frozen"/>
      <selection pane="topRight" activeCell="B1" sqref="B1"/>
      <selection pane="bottomLeft" activeCell="A10" sqref="A10"/>
      <selection pane="bottomRight" activeCell="A24" sqref="A24"/>
    </sheetView>
  </sheetViews>
  <sheetFormatPr defaultColWidth="9.109375" defaultRowHeight="13.2" x14ac:dyDescent="0.25"/>
  <cols>
    <col min="1" max="1" width="21.33203125" style="301" customWidth="1"/>
    <col min="2" max="2" width="11.33203125" style="302" bestFit="1" customWidth="1"/>
    <col min="3" max="3" width="11.5546875" style="302" customWidth="1"/>
    <col min="4" max="4" width="10.33203125" style="302" bestFit="1" customWidth="1"/>
    <col min="5" max="5" width="10.44140625" style="302" customWidth="1"/>
    <col min="6" max="7" width="12.33203125" style="302" bestFit="1" customWidth="1"/>
    <col min="8" max="8" width="7.88671875" style="302" bestFit="1" customWidth="1"/>
    <col min="9" max="9" width="8.33203125" style="302" bestFit="1" customWidth="1"/>
    <col min="10" max="11" width="12.33203125" style="302" bestFit="1" customWidth="1"/>
    <col min="12" max="12" width="7.88671875" style="302" bestFit="1" customWidth="1"/>
    <col min="13" max="13" width="8.33203125" style="302" bestFit="1" customWidth="1"/>
    <col min="14" max="16384" width="9.109375" style="300"/>
  </cols>
  <sheetData>
    <row r="1" spans="1:13" s="296" customFormat="1" ht="12.75" customHeight="1" x14ac:dyDescent="0.25">
      <c r="A1" s="283"/>
      <c r="B1" s="284"/>
      <c r="C1" s="284"/>
      <c r="D1" s="284"/>
      <c r="E1" s="284"/>
      <c r="F1" s="284"/>
      <c r="G1" s="284"/>
      <c r="H1" s="284"/>
      <c r="I1" s="284"/>
      <c r="J1" s="284"/>
      <c r="K1" s="519" t="s">
        <v>1146</v>
      </c>
      <c r="L1" s="519"/>
      <c r="M1" s="519"/>
    </row>
    <row r="2" spans="1:13" s="296" customFormat="1" x14ac:dyDescent="0.25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</row>
    <row r="3" spans="1:13" s="297" customFormat="1" ht="34.5" customHeight="1" x14ac:dyDescent="0.25">
      <c r="A3" s="474" t="s">
        <v>1147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</row>
    <row r="4" spans="1:13" s="297" customFormat="1" ht="24" customHeight="1" thickBot="1" x14ac:dyDescent="0.3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518" t="s">
        <v>191</v>
      </c>
      <c r="M4" s="518"/>
    </row>
    <row r="5" spans="1:13" s="222" customFormat="1" ht="13.5" customHeight="1" thickTop="1" x14ac:dyDescent="0.25">
      <c r="A5" s="520" t="s">
        <v>326</v>
      </c>
      <c r="B5" s="475" t="s">
        <v>333</v>
      </c>
      <c r="C5" s="475"/>
      <c r="D5" s="475"/>
      <c r="E5" s="475"/>
      <c r="F5" s="475" t="s">
        <v>327</v>
      </c>
      <c r="G5" s="475"/>
      <c r="H5" s="475"/>
      <c r="I5" s="475"/>
      <c r="J5" s="475" t="s">
        <v>328</v>
      </c>
      <c r="K5" s="475"/>
      <c r="L5" s="475"/>
      <c r="M5" s="476"/>
    </row>
    <row r="6" spans="1:13" s="222" customFormat="1" ht="38.25" customHeight="1" x14ac:dyDescent="0.25">
      <c r="A6" s="521"/>
      <c r="B6" s="477" t="s">
        <v>385</v>
      </c>
      <c r="C6" s="291" t="s">
        <v>8</v>
      </c>
      <c r="D6" s="477" t="s">
        <v>391</v>
      </c>
      <c r="E6" s="477"/>
      <c r="F6" s="477" t="s">
        <v>150</v>
      </c>
      <c r="G6" s="477"/>
      <c r="H6" s="477" t="s">
        <v>447</v>
      </c>
      <c r="I6" s="477"/>
      <c r="J6" s="477" t="s">
        <v>150</v>
      </c>
      <c r="K6" s="477"/>
      <c r="L6" s="471" t="s">
        <v>447</v>
      </c>
      <c r="M6" s="472"/>
    </row>
    <row r="7" spans="1:13" s="222" customFormat="1" ht="12.75" customHeight="1" x14ac:dyDescent="0.25">
      <c r="A7" s="521"/>
      <c r="B7" s="477"/>
      <c r="C7" s="477" t="s">
        <v>329</v>
      </c>
      <c r="D7" s="477" t="s">
        <v>198</v>
      </c>
      <c r="E7" s="291" t="s">
        <v>8</v>
      </c>
      <c r="F7" s="477" t="s">
        <v>198</v>
      </c>
      <c r="G7" s="291" t="s">
        <v>8</v>
      </c>
      <c r="H7" s="477" t="s">
        <v>198</v>
      </c>
      <c r="I7" s="291" t="s">
        <v>8</v>
      </c>
      <c r="J7" s="477" t="s">
        <v>198</v>
      </c>
      <c r="K7" s="291" t="s">
        <v>8</v>
      </c>
      <c r="L7" s="477" t="s">
        <v>198</v>
      </c>
      <c r="M7" s="292" t="s">
        <v>8</v>
      </c>
    </row>
    <row r="8" spans="1:13" s="222" customFormat="1" ht="26.4" x14ac:dyDescent="0.25">
      <c r="A8" s="521"/>
      <c r="B8" s="477"/>
      <c r="C8" s="477"/>
      <c r="D8" s="477"/>
      <c r="E8" s="291" t="s">
        <v>329</v>
      </c>
      <c r="F8" s="477"/>
      <c r="G8" s="291" t="s">
        <v>329</v>
      </c>
      <c r="H8" s="477"/>
      <c r="I8" s="291" t="s">
        <v>329</v>
      </c>
      <c r="J8" s="477"/>
      <c r="K8" s="291" t="s">
        <v>329</v>
      </c>
      <c r="L8" s="477"/>
      <c r="M8" s="292" t="s">
        <v>329</v>
      </c>
    </row>
    <row r="9" spans="1:13" s="303" customFormat="1" ht="10.199999999999999" x14ac:dyDescent="0.25">
      <c r="A9" s="249">
        <v>1</v>
      </c>
      <c r="B9" s="247">
        <v>2</v>
      </c>
      <c r="C9" s="247">
        <v>3</v>
      </c>
      <c r="D9" s="247">
        <v>4</v>
      </c>
      <c r="E9" s="247">
        <v>5</v>
      </c>
      <c r="F9" s="247">
        <v>6</v>
      </c>
      <c r="G9" s="247">
        <v>7</v>
      </c>
      <c r="H9" s="247">
        <v>8</v>
      </c>
      <c r="I9" s="247">
        <v>9</v>
      </c>
      <c r="J9" s="247">
        <v>10</v>
      </c>
      <c r="K9" s="247">
        <v>11</v>
      </c>
      <c r="L9" s="247">
        <v>12</v>
      </c>
      <c r="M9" s="248">
        <v>13</v>
      </c>
    </row>
    <row r="10" spans="1:13" s="296" customFormat="1" x14ac:dyDescent="0.25">
      <c r="A10" s="285" t="s">
        <v>334</v>
      </c>
      <c r="B10" s="286">
        <v>19060.753000000001</v>
      </c>
      <c r="C10" s="286">
        <v>393.87979999999999</v>
      </c>
      <c r="D10" s="286">
        <v>958.91779999999903</v>
      </c>
      <c r="E10" s="286">
        <v>393.87979999999999</v>
      </c>
      <c r="F10" s="286">
        <v>52835.085099999997</v>
      </c>
      <c r="G10" s="286">
        <v>8639.9840000000004</v>
      </c>
      <c r="H10" s="286">
        <v>69.734700510500474</v>
      </c>
      <c r="I10" s="286">
        <v>78.715104727725404</v>
      </c>
      <c r="J10" s="286">
        <v>51874.214800000002</v>
      </c>
      <c r="K10" s="286">
        <v>8246.1041999999998</v>
      </c>
      <c r="L10" s="286">
        <v>64.856352663065294</v>
      </c>
      <c r="M10" s="287">
        <v>75.12663862557342</v>
      </c>
    </row>
    <row r="11" spans="1:13" s="296" customFormat="1" ht="26.4" x14ac:dyDescent="0.25">
      <c r="A11" s="298" t="s">
        <v>335</v>
      </c>
      <c r="B11" s="286">
        <v>0</v>
      </c>
      <c r="C11" s="286">
        <v>0</v>
      </c>
      <c r="D11" s="286">
        <v>-934.30579999999998</v>
      </c>
      <c r="E11" s="286">
        <v>0</v>
      </c>
      <c r="F11" s="286">
        <v>5653.9072999999999</v>
      </c>
      <c r="G11" s="286">
        <v>0</v>
      </c>
      <c r="H11" s="286">
        <v>100</v>
      </c>
      <c r="I11" s="286"/>
      <c r="J11" s="286">
        <v>6588.2129999999997</v>
      </c>
      <c r="K11" s="286">
        <v>0</v>
      </c>
      <c r="L11" s="286">
        <v>99.999999999999986</v>
      </c>
      <c r="M11" s="287"/>
    </row>
    <row r="12" spans="1:13" s="296" customFormat="1" x14ac:dyDescent="0.25">
      <c r="A12" s="298" t="s">
        <v>336</v>
      </c>
      <c r="B12" s="286">
        <v>22264.133700000002</v>
      </c>
      <c r="C12" s="286">
        <v>12584.406200000001</v>
      </c>
      <c r="D12" s="286">
        <v>4222.3052000000025</v>
      </c>
      <c r="E12" s="286">
        <v>77.809100000002218</v>
      </c>
      <c r="F12" s="286">
        <v>288348.6115</v>
      </c>
      <c r="G12" s="286">
        <v>245984.9841</v>
      </c>
      <c r="H12" s="286">
        <v>74.051420928196251</v>
      </c>
      <c r="I12" s="286">
        <v>80.517172004125797</v>
      </c>
      <c r="J12" s="286">
        <v>284140.59409999999</v>
      </c>
      <c r="K12" s="286">
        <v>245938.43030000001</v>
      </c>
      <c r="L12" s="286">
        <v>69.779358010968537</v>
      </c>
      <c r="M12" s="287">
        <v>77.336061482982657</v>
      </c>
    </row>
    <row r="13" spans="1:13" s="296" customFormat="1" x14ac:dyDescent="0.25">
      <c r="A13" s="298" t="s">
        <v>337</v>
      </c>
      <c r="B13" s="286">
        <v>982134.48110000009</v>
      </c>
      <c r="C13" s="286">
        <v>293427.42120000004</v>
      </c>
      <c r="D13" s="286">
        <v>-669304.15709999984</v>
      </c>
      <c r="E13" s="286">
        <v>-72546.847699999984</v>
      </c>
      <c r="F13" s="286">
        <v>13245267.399099998</v>
      </c>
      <c r="G13" s="286">
        <v>2078394.9250999999</v>
      </c>
      <c r="H13" s="286">
        <v>65.560009415994912</v>
      </c>
      <c r="I13" s="286">
        <v>68.216095983531261</v>
      </c>
      <c r="J13" s="286">
        <v>13906890.681</v>
      </c>
      <c r="K13" s="286">
        <v>2136329.7494999999</v>
      </c>
      <c r="L13" s="286">
        <v>63.737322926936422</v>
      </c>
      <c r="M13" s="287">
        <v>62.776193941150858</v>
      </c>
    </row>
    <row r="14" spans="1:13" s="296" customFormat="1" ht="26.4" x14ac:dyDescent="0.25">
      <c r="A14" s="298" t="s">
        <v>338</v>
      </c>
      <c r="B14" s="286">
        <v>671.36410000000001</v>
      </c>
      <c r="C14" s="286">
        <v>592.096</v>
      </c>
      <c r="D14" s="286">
        <v>418.22090000000003</v>
      </c>
      <c r="E14" s="286">
        <v>519.55930000000001</v>
      </c>
      <c r="F14" s="286">
        <v>2983.7732000000001</v>
      </c>
      <c r="G14" s="286">
        <v>2945.3013000000001</v>
      </c>
      <c r="H14" s="286">
        <v>63.563045998857987</v>
      </c>
      <c r="I14" s="286">
        <v>78.025333412913682</v>
      </c>
      <c r="J14" s="286">
        <v>2565.5523000000003</v>
      </c>
      <c r="K14" s="286">
        <v>2425.7420999999999</v>
      </c>
      <c r="L14" s="286">
        <v>51.857227058268514</v>
      </c>
      <c r="M14" s="287">
        <v>63.049882802082898</v>
      </c>
    </row>
    <row r="15" spans="1:13" s="296" customFormat="1" x14ac:dyDescent="0.25">
      <c r="A15" s="298" t="s">
        <v>339</v>
      </c>
      <c r="B15" s="286">
        <v>104549.39259999999</v>
      </c>
      <c r="C15" s="286">
        <v>89947.455999999991</v>
      </c>
      <c r="D15" s="286">
        <v>82119.61559999999</v>
      </c>
      <c r="E15" s="286">
        <v>82961.720699999991</v>
      </c>
      <c r="F15" s="286">
        <v>727707.6102</v>
      </c>
      <c r="G15" s="286">
        <v>616977.52049999998</v>
      </c>
      <c r="H15" s="286">
        <v>75.510599411348039</v>
      </c>
      <c r="I15" s="286">
        <v>75.750101655674783</v>
      </c>
      <c r="J15" s="286">
        <v>644496.97029999993</v>
      </c>
      <c r="K15" s="286">
        <v>521459.1434</v>
      </c>
      <c r="L15" s="286">
        <v>65.357054196220531</v>
      </c>
      <c r="M15" s="287">
        <v>63.479846114281997</v>
      </c>
    </row>
    <row r="16" spans="1:13" s="296" customFormat="1" x14ac:dyDescent="0.25">
      <c r="A16" s="298" t="s">
        <v>340</v>
      </c>
      <c r="B16" s="286">
        <v>87122.872299999988</v>
      </c>
      <c r="C16" s="286">
        <v>62001.794099999999</v>
      </c>
      <c r="D16" s="286">
        <v>3767.9697999999917</v>
      </c>
      <c r="E16" s="286">
        <v>-105.78740000000107</v>
      </c>
      <c r="F16" s="286">
        <v>271923.39030000003</v>
      </c>
      <c r="G16" s="286">
        <v>222715.51250000001</v>
      </c>
      <c r="H16" s="286">
        <v>61.313185331354525</v>
      </c>
      <c r="I16" s="286">
        <v>59.751926048794438</v>
      </c>
      <c r="J16" s="286">
        <v>267498.61369999999</v>
      </c>
      <c r="K16" s="286">
        <v>222169.49309999999</v>
      </c>
      <c r="L16" s="286">
        <v>52.582176257826013</v>
      </c>
      <c r="M16" s="287">
        <v>51.183215566879397</v>
      </c>
    </row>
    <row r="17" spans="1:13" s="296" customFormat="1" x14ac:dyDescent="0.25">
      <c r="A17" s="298" t="s">
        <v>341</v>
      </c>
      <c r="B17" s="286">
        <v>279432.80060000002</v>
      </c>
      <c r="C17" s="286">
        <v>259929.40839999999</v>
      </c>
      <c r="D17" s="286">
        <v>213297.64150000003</v>
      </c>
      <c r="E17" s="286">
        <v>210786.24159999998</v>
      </c>
      <c r="F17" s="286">
        <v>3069378.8234999999</v>
      </c>
      <c r="G17" s="286">
        <v>2868358.9098</v>
      </c>
      <c r="H17" s="286">
        <v>73.611549997951016</v>
      </c>
      <c r="I17" s="286">
        <v>73.859669467715293</v>
      </c>
      <c r="J17" s="286">
        <v>2854687.9149000002</v>
      </c>
      <c r="K17" s="286">
        <v>2653268.7376000001</v>
      </c>
      <c r="L17" s="286">
        <v>67.718331876345204</v>
      </c>
      <c r="M17" s="287">
        <v>67.768979769661968</v>
      </c>
    </row>
    <row r="18" spans="1:13" s="296" customFormat="1" x14ac:dyDescent="0.25">
      <c r="A18" s="298" t="s">
        <v>342</v>
      </c>
      <c r="B18" s="286">
        <v>390.63720000000001</v>
      </c>
      <c r="C18" s="286">
        <v>9.9474</v>
      </c>
      <c r="D18" s="286">
        <v>-127.51779999999997</v>
      </c>
      <c r="E18" s="286">
        <v>9.9474</v>
      </c>
      <c r="F18" s="286">
        <v>6156.1086999999998</v>
      </c>
      <c r="G18" s="286">
        <v>807.3</v>
      </c>
      <c r="H18" s="286">
        <v>126.01548964218455</v>
      </c>
      <c r="I18" s="286">
        <v>49.999999999999993</v>
      </c>
      <c r="J18" s="286">
        <v>6283.6265000000003</v>
      </c>
      <c r="K18" s="286">
        <v>797.35259999999994</v>
      </c>
      <c r="L18" s="286">
        <v>81.091286456936004</v>
      </c>
      <c r="M18" s="287">
        <v>49.383909327387585</v>
      </c>
    </row>
    <row r="19" spans="1:13" s="296" customFormat="1" x14ac:dyDescent="0.25">
      <c r="A19" s="298" t="s">
        <v>343</v>
      </c>
      <c r="B19" s="286">
        <v>14551.0771</v>
      </c>
      <c r="C19" s="286">
        <v>14545.4707</v>
      </c>
      <c r="D19" s="286">
        <v>11528.481</v>
      </c>
      <c r="E19" s="286">
        <v>11589.061400000001</v>
      </c>
      <c r="F19" s="286">
        <v>86302.960099999997</v>
      </c>
      <c r="G19" s="286">
        <v>83002.679999999993</v>
      </c>
      <c r="H19" s="286">
        <v>77.024133617033868</v>
      </c>
      <c r="I19" s="286">
        <v>76.972857279310617</v>
      </c>
      <c r="J19" s="286">
        <v>74774.479200000002</v>
      </c>
      <c r="K19" s="286">
        <v>71413.618700000006</v>
      </c>
      <c r="L19" s="286">
        <v>64.982158864336824</v>
      </c>
      <c r="M19" s="287">
        <v>64.458478424842568</v>
      </c>
    </row>
    <row r="20" spans="1:13" s="296" customFormat="1" ht="26.4" x14ac:dyDescent="0.25">
      <c r="A20" s="298" t="s">
        <v>344</v>
      </c>
      <c r="B20" s="286">
        <v>71784.711899999995</v>
      </c>
      <c r="C20" s="286">
        <v>71760.328999999998</v>
      </c>
      <c r="D20" s="286">
        <v>6963.6313999999984</v>
      </c>
      <c r="E20" s="286">
        <v>7003.616399999999</v>
      </c>
      <c r="F20" s="286">
        <v>16327.297400000001</v>
      </c>
      <c r="G20" s="286">
        <v>14979.9184</v>
      </c>
      <c r="H20" s="286">
        <v>91.352521993137302</v>
      </c>
      <c r="I20" s="286">
        <v>90.647463016026961</v>
      </c>
      <c r="J20" s="286">
        <v>9363.6659</v>
      </c>
      <c r="K20" s="286">
        <v>7976.3019999999997</v>
      </c>
      <c r="L20" s="286">
        <v>11.323281007262825</v>
      </c>
      <c r="M20" s="287">
        <v>9.8131002920817263</v>
      </c>
    </row>
    <row r="21" spans="1:13" s="296" customFormat="1" ht="26.4" x14ac:dyDescent="0.25">
      <c r="A21" s="298" t="s">
        <v>345</v>
      </c>
      <c r="B21" s="286">
        <v>221793.52130000002</v>
      </c>
      <c r="C21" s="286">
        <v>159268.18729999999</v>
      </c>
      <c r="D21" s="286">
        <v>127308.79960000003</v>
      </c>
      <c r="E21" s="286">
        <v>96088.910899999988</v>
      </c>
      <c r="F21" s="286">
        <v>1715925.9120999998</v>
      </c>
      <c r="G21" s="286">
        <v>1346086.0907999999</v>
      </c>
      <c r="H21" s="286">
        <v>76.750509522194022</v>
      </c>
      <c r="I21" s="286">
        <v>76.858770908625615</v>
      </c>
      <c r="J21" s="286">
        <v>1588591.9490999999</v>
      </c>
      <c r="K21" s="286">
        <v>1249980.7117999999</v>
      </c>
      <c r="L21" s="286">
        <v>68.173944072439539</v>
      </c>
      <c r="M21" s="287">
        <v>68.886338556532365</v>
      </c>
    </row>
    <row r="22" spans="1:13" s="296" customFormat="1" x14ac:dyDescent="0.25">
      <c r="A22" s="298" t="s">
        <v>346</v>
      </c>
      <c r="B22" s="286">
        <v>25642.772500000003</v>
      </c>
      <c r="C22" s="286">
        <v>3427.0092999999997</v>
      </c>
      <c r="D22" s="286">
        <v>25642.772500000003</v>
      </c>
      <c r="E22" s="286">
        <v>3427.0092999999997</v>
      </c>
      <c r="F22" s="286">
        <v>63342.129300000001</v>
      </c>
      <c r="G22" s="286">
        <v>14625.8</v>
      </c>
      <c r="H22" s="286">
        <v>108.04793472309169</v>
      </c>
      <c r="I22" s="286">
        <v>73.755553426356897</v>
      </c>
      <c r="J22" s="286">
        <v>37699.356899999999</v>
      </c>
      <c r="K22" s="286">
        <v>11198.7907</v>
      </c>
      <c r="L22" s="286">
        <v>47.679100515718595</v>
      </c>
      <c r="M22" s="287">
        <v>56.473697560778817</v>
      </c>
    </row>
    <row r="23" spans="1:13" s="296" customFormat="1" ht="26.4" x14ac:dyDescent="0.25">
      <c r="A23" s="298" t="s">
        <v>347</v>
      </c>
      <c r="B23" s="286">
        <v>11677.2474</v>
      </c>
      <c r="C23" s="286">
        <v>11279.1376</v>
      </c>
      <c r="D23" s="286">
        <v>11300.362800000001</v>
      </c>
      <c r="E23" s="286">
        <v>11279.1376</v>
      </c>
      <c r="F23" s="286">
        <v>128884.871</v>
      </c>
      <c r="G23" s="286">
        <v>124981.28</v>
      </c>
      <c r="H23" s="286">
        <v>65.291470074246959</v>
      </c>
      <c r="I23" s="286">
        <v>65.297962659644767</v>
      </c>
      <c r="J23" s="286">
        <v>117584.50810000001</v>
      </c>
      <c r="K23" s="286">
        <v>113702.1424</v>
      </c>
      <c r="L23" s="286">
        <v>59.54254067364753</v>
      </c>
      <c r="M23" s="287">
        <v>59.405042489217685</v>
      </c>
    </row>
    <row r="24" spans="1:13" s="296" customFormat="1" x14ac:dyDescent="0.25">
      <c r="A24" s="298" t="s">
        <v>1157</v>
      </c>
      <c r="B24" s="286">
        <v>38468.289099999995</v>
      </c>
      <c r="C24" s="286">
        <v>31668.9192</v>
      </c>
      <c r="D24" s="286">
        <v>12021.474299999994</v>
      </c>
      <c r="E24" s="286">
        <v>29510.019200000002</v>
      </c>
      <c r="F24" s="286">
        <v>414513.44839999999</v>
      </c>
      <c r="G24" s="286">
        <v>282896.88500000001</v>
      </c>
      <c r="H24" s="286">
        <v>76.515637354526746</v>
      </c>
      <c r="I24" s="286">
        <v>78.389700161637236</v>
      </c>
      <c r="J24" s="286">
        <v>402461.3947</v>
      </c>
      <c r="K24" s="286">
        <v>253356.28630000001</v>
      </c>
      <c r="L24" s="286">
        <v>70.832967951225186</v>
      </c>
      <c r="M24" s="287">
        <v>69.786627563987224</v>
      </c>
    </row>
    <row r="25" spans="1:13" ht="26.4" x14ac:dyDescent="0.25">
      <c r="A25" s="298" t="s">
        <v>348</v>
      </c>
      <c r="B25" s="299">
        <v>22383.893100000001</v>
      </c>
      <c r="C25" s="286">
        <v>21522.295600000001</v>
      </c>
      <c r="D25" s="286">
        <v>12249.758800000001</v>
      </c>
      <c r="E25" s="286">
        <v>11587.116800000002</v>
      </c>
      <c r="F25" s="299">
        <v>103118.46220000001</v>
      </c>
      <c r="G25" s="286">
        <v>97876.906099999993</v>
      </c>
      <c r="H25" s="286">
        <v>80.139082020994266</v>
      </c>
      <c r="I25" s="286">
        <v>83.324900421702267</v>
      </c>
      <c r="J25" s="299">
        <v>90868.703399999999</v>
      </c>
      <c r="K25" s="286">
        <v>86289.789300000004</v>
      </c>
      <c r="L25" s="286">
        <v>65.463352677306062</v>
      </c>
      <c r="M25" s="287">
        <v>67.731732803801393</v>
      </c>
    </row>
    <row r="26" spans="1:13" ht="26.4" x14ac:dyDescent="0.25">
      <c r="A26" s="298" t="s">
        <v>349</v>
      </c>
      <c r="B26" s="299">
        <v>10965.752799999998</v>
      </c>
      <c r="C26" s="286">
        <v>2714.4276</v>
      </c>
      <c r="D26" s="286">
        <v>-2525.0778000000009</v>
      </c>
      <c r="E26" s="286">
        <v>2714.4276</v>
      </c>
      <c r="F26" s="299">
        <v>105454.7899</v>
      </c>
      <c r="G26" s="286">
        <v>29846.1</v>
      </c>
      <c r="H26" s="286">
        <v>66.105577251938243</v>
      </c>
      <c r="I26" s="286">
        <v>77.123100417836994</v>
      </c>
      <c r="J26" s="299">
        <v>107979.8677</v>
      </c>
      <c r="K26" s="286">
        <v>27131.672399999999</v>
      </c>
      <c r="L26" s="286">
        <v>67.688452014984492</v>
      </c>
      <c r="M26" s="287">
        <v>70.10894874067489</v>
      </c>
    </row>
    <row r="27" spans="1:13" ht="26.4" x14ac:dyDescent="0.25">
      <c r="A27" s="298" t="s">
        <v>350</v>
      </c>
      <c r="B27" s="299">
        <v>1067.7750000000001</v>
      </c>
      <c r="C27" s="286">
        <v>954.07860000000005</v>
      </c>
      <c r="D27" s="286">
        <v>1067.7750000000001</v>
      </c>
      <c r="E27" s="286">
        <v>954.07860000000005</v>
      </c>
      <c r="F27" s="299">
        <v>7938.7546000000002</v>
      </c>
      <c r="G27" s="286">
        <v>7591.6635999999999</v>
      </c>
      <c r="H27" s="286">
        <v>75.980114435197919</v>
      </c>
      <c r="I27" s="286">
        <v>75.400417596980731</v>
      </c>
      <c r="J27" s="299">
        <v>6870.9796999999999</v>
      </c>
      <c r="K27" s="286">
        <v>6637.5851000000002</v>
      </c>
      <c r="L27" s="286">
        <v>65.760670305632303</v>
      </c>
      <c r="M27" s="287">
        <v>65.924508084828361</v>
      </c>
    </row>
    <row r="28" spans="1:13" ht="26.4" x14ac:dyDescent="0.25">
      <c r="A28" s="298" t="s">
        <v>351</v>
      </c>
      <c r="B28" s="299">
        <v>17752.897699999998</v>
      </c>
      <c r="C28" s="286">
        <v>10739.2112</v>
      </c>
      <c r="D28" s="286">
        <v>13485.644899999998</v>
      </c>
      <c r="E28" s="286">
        <v>10075.4663</v>
      </c>
      <c r="F28" s="299">
        <v>173178.5171</v>
      </c>
      <c r="G28" s="286">
        <v>112730.05</v>
      </c>
      <c r="H28" s="286">
        <v>73.584186300880702</v>
      </c>
      <c r="I28" s="286">
        <v>75.091691357498362</v>
      </c>
      <c r="J28" s="299">
        <v>159692.87210000001</v>
      </c>
      <c r="K28" s="286">
        <v>102654.5836</v>
      </c>
      <c r="L28" s="286">
        <v>67.663257252764936</v>
      </c>
      <c r="M28" s="287">
        <v>68.079225073549452</v>
      </c>
    </row>
    <row r="29" spans="1:13" s="219" customFormat="1" ht="13.8" thickBot="1" x14ac:dyDescent="0.3">
      <c r="A29" s="242" t="s">
        <v>352</v>
      </c>
      <c r="B29" s="236">
        <v>1931714.3725000001</v>
      </c>
      <c r="C29" s="236">
        <v>1046765.4752000001</v>
      </c>
      <c r="D29" s="236">
        <v>-146537.68739999982</v>
      </c>
      <c r="E29" s="236">
        <v>406325.36690000002</v>
      </c>
      <c r="F29" s="236">
        <v>20485241.850999992</v>
      </c>
      <c r="G29" s="236">
        <v>8159441.8111999985</v>
      </c>
      <c r="H29" s="236">
        <v>68.379944987409104</v>
      </c>
      <c r="I29" s="236">
        <v>72.828688161793551</v>
      </c>
      <c r="J29" s="236">
        <v>20620914.157399997</v>
      </c>
      <c r="K29" s="236">
        <v>7720976.2350999992</v>
      </c>
      <c r="L29" s="236">
        <v>64.534330917823127</v>
      </c>
      <c r="M29" s="237">
        <v>65.342916507865453</v>
      </c>
    </row>
    <row r="30" spans="1:13" ht="13.8" thickTop="1" x14ac:dyDescent="0.25"/>
  </sheetData>
  <mergeCells count="19">
    <mergeCell ref="D7:D8"/>
    <mergeCell ref="B6:B8"/>
    <mergeCell ref="D6:E6"/>
    <mergeCell ref="L4:M4"/>
    <mergeCell ref="F6:G6"/>
    <mergeCell ref="F7:F8"/>
    <mergeCell ref="K1:M1"/>
    <mergeCell ref="L7:L8"/>
    <mergeCell ref="H7:H8"/>
    <mergeCell ref="J7:J8"/>
    <mergeCell ref="J6:K6"/>
    <mergeCell ref="L6:M6"/>
    <mergeCell ref="H6:I6"/>
    <mergeCell ref="A3:M3"/>
    <mergeCell ref="A5:A8"/>
    <mergeCell ref="B5:E5"/>
    <mergeCell ref="F5:I5"/>
    <mergeCell ref="J5:M5"/>
    <mergeCell ref="C7:C8"/>
  </mergeCells>
  <conditionalFormatting sqref="B10:M29">
    <cfRule type="cellIs" dxfId="2" priority="1" operator="equal">
      <formula>0</formula>
    </cfRule>
  </conditionalFormatting>
  <printOptions horizontalCentered="1"/>
  <pageMargins left="0" right="0" top="0.74803149606299213" bottom="0.35433070866141736" header="0.31496062992125984" footer="0.11811023622047245"/>
  <pageSetup paperSize="9" scale="96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zoomScale="115" zoomScaleNormal="115" workbookViewId="0">
      <pane xSplit="1" ySplit="10" topLeftCell="B35" activePane="bottomRight" state="frozen"/>
      <selection pane="topRight" activeCell="B1" sqref="B1"/>
      <selection pane="bottomLeft" activeCell="A11" sqref="A11"/>
      <selection pane="bottomRight" activeCell="C9" sqref="C9"/>
    </sheetView>
  </sheetViews>
  <sheetFormatPr defaultColWidth="9.109375" defaultRowHeight="13.2" x14ac:dyDescent="0.25"/>
  <cols>
    <col min="1" max="1" width="21.88671875" style="301" bestFit="1" customWidth="1"/>
    <col min="2" max="2" width="11.33203125" style="284" bestFit="1" customWidth="1"/>
    <col min="3" max="3" width="9.109375" style="284"/>
    <col min="4" max="4" width="11.109375" style="284" customWidth="1"/>
    <col min="5" max="5" width="9.109375" style="284"/>
    <col min="6" max="6" width="11.88671875" style="284" bestFit="1" customWidth="1"/>
    <col min="7" max="7" width="9.109375" style="284"/>
    <col min="8" max="8" width="11.5546875" style="284" customWidth="1"/>
    <col min="9" max="9" width="9.109375" style="284"/>
    <col min="10" max="10" width="11.33203125" style="284" bestFit="1" customWidth="1"/>
    <col min="11" max="11" width="9.6640625" style="284" bestFit="1" customWidth="1"/>
    <col min="12" max="12" width="11.33203125" style="284" customWidth="1"/>
    <col min="13" max="13" width="9.6640625" style="284" bestFit="1" customWidth="1"/>
    <col min="14" max="14" width="11.33203125" style="284" bestFit="1" customWidth="1"/>
    <col min="15" max="15" width="9.6640625" style="284" bestFit="1" customWidth="1"/>
    <col min="16" max="16" width="11.33203125" style="284" bestFit="1" customWidth="1"/>
    <col min="17" max="17" width="9.6640625" style="284" bestFit="1" customWidth="1"/>
    <col min="18" max="16384" width="9.109375" style="284"/>
  </cols>
  <sheetData>
    <row r="1" spans="1:17" s="283" customFormat="1" x14ac:dyDescent="0.25">
      <c r="O1" s="524" t="s">
        <v>1148</v>
      </c>
      <c r="P1" s="524"/>
      <c r="Q1" s="524"/>
    </row>
    <row r="2" spans="1:17" s="297" customFormat="1" x14ac:dyDescent="0.25">
      <c r="O2" s="305"/>
      <c r="P2" s="305"/>
      <c r="Q2" s="305"/>
    </row>
    <row r="3" spans="1:17" s="283" customFormat="1" ht="36" customHeight="1" x14ac:dyDescent="0.25">
      <c r="A3" s="474" t="s">
        <v>1149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</row>
    <row r="4" spans="1:17" s="283" customFormat="1" ht="13.8" thickBot="1" x14ac:dyDescent="0.3">
      <c r="P4" s="479" t="s">
        <v>191</v>
      </c>
      <c r="Q4" s="479"/>
    </row>
    <row r="5" spans="1:17" s="295" customFormat="1" ht="13.5" customHeight="1" thickTop="1" x14ac:dyDescent="0.25">
      <c r="A5" s="520" t="s">
        <v>326</v>
      </c>
      <c r="B5" s="525" t="s">
        <v>353</v>
      </c>
      <c r="C5" s="525"/>
      <c r="D5" s="525"/>
      <c r="E5" s="525"/>
      <c r="F5" s="525"/>
      <c r="G5" s="525"/>
      <c r="H5" s="525"/>
      <c r="I5" s="525"/>
      <c r="J5" s="475" t="s">
        <v>354</v>
      </c>
      <c r="K5" s="475"/>
      <c r="L5" s="475"/>
      <c r="M5" s="475"/>
      <c r="N5" s="475"/>
      <c r="O5" s="475"/>
      <c r="P5" s="475"/>
      <c r="Q5" s="476"/>
    </row>
    <row r="6" spans="1:17" s="295" customFormat="1" ht="12.75" customHeight="1" x14ac:dyDescent="0.25">
      <c r="A6" s="521"/>
      <c r="B6" s="526" t="s">
        <v>383</v>
      </c>
      <c r="C6" s="527"/>
      <c r="D6" s="527"/>
      <c r="E6" s="527"/>
      <c r="F6" s="526" t="s">
        <v>392</v>
      </c>
      <c r="G6" s="527"/>
      <c r="H6" s="527"/>
      <c r="I6" s="527"/>
      <c r="J6" s="526" t="s">
        <v>383</v>
      </c>
      <c r="K6" s="527"/>
      <c r="L6" s="527"/>
      <c r="M6" s="527"/>
      <c r="N6" s="477" t="s">
        <v>391</v>
      </c>
      <c r="O6" s="477"/>
      <c r="P6" s="477"/>
      <c r="Q6" s="478"/>
    </row>
    <row r="7" spans="1:17" s="295" customFormat="1" ht="12.75" customHeight="1" x14ac:dyDescent="0.25">
      <c r="A7" s="521"/>
      <c r="B7" s="477" t="s">
        <v>355</v>
      </c>
      <c r="C7" s="477" t="s">
        <v>356</v>
      </c>
      <c r="D7" s="477"/>
      <c r="E7" s="477"/>
      <c r="F7" s="477" t="s">
        <v>355</v>
      </c>
      <c r="G7" s="477" t="s">
        <v>356</v>
      </c>
      <c r="H7" s="477"/>
      <c r="I7" s="477"/>
      <c r="J7" s="477" t="s">
        <v>355</v>
      </c>
      <c r="K7" s="477" t="s">
        <v>356</v>
      </c>
      <c r="L7" s="477"/>
      <c r="M7" s="477"/>
      <c r="N7" s="477" t="s">
        <v>355</v>
      </c>
      <c r="O7" s="477" t="s">
        <v>356</v>
      </c>
      <c r="P7" s="477"/>
      <c r="Q7" s="478"/>
    </row>
    <row r="8" spans="1:17" s="295" customFormat="1" ht="12.75" customHeight="1" x14ac:dyDescent="0.25">
      <c r="A8" s="521"/>
      <c r="B8" s="477"/>
      <c r="C8" s="293" t="s">
        <v>143</v>
      </c>
      <c r="D8" s="477" t="s">
        <v>357</v>
      </c>
      <c r="E8" s="293" t="s">
        <v>143</v>
      </c>
      <c r="F8" s="477"/>
      <c r="G8" s="293" t="s">
        <v>143</v>
      </c>
      <c r="H8" s="477" t="s">
        <v>357</v>
      </c>
      <c r="I8" s="293" t="s">
        <v>143</v>
      </c>
      <c r="J8" s="477"/>
      <c r="K8" s="293" t="s">
        <v>143</v>
      </c>
      <c r="L8" s="477" t="s">
        <v>357</v>
      </c>
      <c r="M8" s="293" t="s">
        <v>143</v>
      </c>
      <c r="N8" s="477"/>
      <c r="O8" s="293" t="s">
        <v>143</v>
      </c>
      <c r="P8" s="477" t="s">
        <v>357</v>
      </c>
      <c r="Q8" s="294" t="s">
        <v>143</v>
      </c>
    </row>
    <row r="9" spans="1:17" s="295" customFormat="1" ht="26.4" x14ac:dyDescent="0.25">
      <c r="A9" s="521"/>
      <c r="B9" s="477"/>
      <c r="C9" s="293" t="s">
        <v>358</v>
      </c>
      <c r="D9" s="477"/>
      <c r="E9" s="293" t="s">
        <v>358</v>
      </c>
      <c r="F9" s="477"/>
      <c r="G9" s="293" t="s">
        <v>358</v>
      </c>
      <c r="H9" s="477"/>
      <c r="I9" s="293" t="s">
        <v>358</v>
      </c>
      <c r="J9" s="477"/>
      <c r="K9" s="293" t="s">
        <v>358</v>
      </c>
      <c r="L9" s="477"/>
      <c r="M9" s="293" t="s">
        <v>358</v>
      </c>
      <c r="N9" s="477"/>
      <c r="O9" s="293" t="s">
        <v>358</v>
      </c>
      <c r="P9" s="477"/>
      <c r="Q9" s="294" t="s">
        <v>358</v>
      </c>
    </row>
    <row r="10" spans="1:17" s="250" customFormat="1" ht="10.199999999999999" x14ac:dyDescent="0.25">
      <c r="A10" s="249">
        <v>1</v>
      </c>
      <c r="B10" s="247">
        <v>2</v>
      </c>
      <c r="C10" s="247">
        <v>3</v>
      </c>
      <c r="D10" s="247">
        <v>4</v>
      </c>
      <c r="E10" s="247">
        <v>5</v>
      </c>
      <c r="F10" s="247">
        <v>6</v>
      </c>
      <c r="G10" s="247">
        <v>7</v>
      </c>
      <c r="H10" s="247">
        <v>8</v>
      </c>
      <c r="I10" s="247">
        <v>9</v>
      </c>
      <c r="J10" s="247">
        <v>10</v>
      </c>
      <c r="K10" s="247">
        <v>11</v>
      </c>
      <c r="L10" s="247">
        <v>12</v>
      </c>
      <c r="M10" s="247">
        <v>13</v>
      </c>
      <c r="N10" s="247">
        <v>14</v>
      </c>
      <c r="O10" s="247">
        <v>15</v>
      </c>
      <c r="P10" s="247">
        <v>16</v>
      </c>
      <c r="Q10" s="248">
        <v>17</v>
      </c>
    </row>
    <row r="11" spans="1:17" x14ac:dyDescent="0.25">
      <c r="A11" s="285" t="s">
        <v>163</v>
      </c>
      <c r="B11" s="286">
        <v>7605.5673999999999</v>
      </c>
      <c r="C11" s="286">
        <v>0</v>
      </c>
      <c r="D11" s="286">
        <v>4803.2402000000002</v>
      </c>
      <c r="E11" s="286">
        <v>0</v>
      </c>
      <c r="F11" s="286">
        <v>619.37950000000001</v>
      </c>
      <c r="G11" s="286">
        <v>0</v>
      </c>
      <c r="H11" s="286">
        <v>50.668499999999767</v>
      </c>
      <c r="I11" s="286">
        <v>0</v>
      </c>
      <c r="J11" s="286">
        <v>142060.83479999998</v>
      </c>
      <c r="K11" s="286">
        <v>79150.102499999994</v>
      </c>
      <c r="L11" s="286">
        <v>127525.5762</v>
      </c>
      <c r="M11" s="286">
        <v>76047.525599999994</v>
      </c>
      <c r="N11" s="286">
        <v>48865.826699999991</v>
      </c>
      <c r="O11" s="286">
        <v>21795.378699999987</v>
      </c>
      <c r="P11" s="286">
        <v>43101.465400000001</v>
      </c>
      <c r="Q11" s="287">
        <v>21267.12969999999</v>
      </c>
    </row>
    <row r="12" spans="1:17" x14ac:dyDescent="0.25">
      <c r="A12" s="285" t="s">
        <v>164</v>
      </c>
      <c r="B12" s="286">
        <v>1782.6565000000001</v>
      </c>
      <c r="C12" s="286">
        <v>0</v>
      </c>
      <c r="D12" s="286">
        <v>899.87639999999999</v>
      </c>
      <c r="E12" s="286">
        <v>0</v>
      </c>
      <c r="F12" s="286">
        <v>-917.14120000000003</v>
      </c>
      <c r="G12" s="286">
        <v>0</v>
      </c>
      <c r="H12" s="286">
        <v>-261.76399999999978</v>
      </c>
      <c r="I12" s="286">
        <v>0</v>
      </c>
      <c r="J12" s="286">
        <v>24128.175800000001</v>
      </c>
      <c r="K12" s="286">
        <v>0</v>
      </c>
      <c r="L12" s="286">
        <v>22386.365300000001</v>
      </c>
      <c r="M12" s="286">
        <v>0</v>
      </c>
      <c r="N12" s="286">
        <v>17730.113400000002</v>
      </c>
      <c r="O12" s="286">
        <v>-242.5455</v>
      </c>
      <c r="P12" s="286">
        <v>17494.670300000002</v>
      </c>
      <c r="Q12" s="287">
        <v>0</v>
      </c>
    </row>
    <row r="13" spans="1:17" x14ac:dyDescent="0.25">
      <c r="A13" s="285" t="s">
        <v>165</v>
      </c>
      <c r="B13" s="286">
        <v>2521.08</v>
      </c>
      <c r="C13" s="286">
        <v>0</v>
      </c>
      <c r="D13" s="286">
        <v>772.43619999999999</v>
      </c>
      <c r="E13" s="286">
        <v>0</v>
      </c>
      <c r="F13" s="286">
        <v>-136.94890000000032</v>
      </c>
      <c r="G13" s="286">
        <v>0</v>
      </c>
      <c r="H13" s="286">
        <v>15.437900000000013</v>
      </c>
      <c r="I13" s="286">
        <v>0</v>
      </c>
      <c r="J13" s="286">
        <v>58577.721899999997</v>
      </c>
      <c r="K13" s="286">
        <v>233.06890000000001</v>
      </c>
      <c r="L13" s="286">
        <v>52622.801499999994</v>
      </c>
      <c r="M13" s="286">
        <v>213.09470000000002</v>
      </c>
      <c r="N13" s="286">
        <v>55464.1158</v>
      </c>
      <c r="O13" s="286">
        <v>-7.5597999999999956</v>
      </c>
      <c r="P13" s="286">
        <v>50630.986999999994</v>
      </c>
      <c r="Q13" s="287">
        <v>-7.1319999999999766</v>
      </c>
    </row>
    <row r="14" spans="1:17" x14ac:dyDescent="0.25">
      <c r="A14" s="285" t="s">
        <v>166</v>
      </c>
      <c r="B14" s="286">
        <v>5228.9058999999997</v>
      </c>
      <c r="C14" s="286">
        <v>0</v>
      </c>
      <c r="D14" s="286">
        <v>4652.0683999999992</v>
      </c>
      <c r="E14" s="286">
        <v>0</v>
      </c>
      <c r="F14" s="286">
        <v>1111.3501999999999</v>
      </c>
      <c r="G14" s="286">
        <v>0</v>
      </c>
      <c r="H14" s="286">
        <v>1057.2077999999992</v>
      </c>
      <c r="I14" s="286">
        <v>0</v>
      </c>
      <c r="J14" s="286">
        <v>30756.624499999998</v>
      </c>
      <c r="K14" s="286">
        <v>6318.3964999999998</v>
      </c>
      <c r="L14" s="286">
        <v>28784.4899</v>
      </c>
      <c r="M14" s="286">
        <v>6318.3964999999998</v>
      </c>
      <c r="N14" s="286">
        <v>18717.028899999998</v>
      </c>
      <c r="O14" s="286">
        <v>2258.3289</v>
      </c>
      <c r="P14" s="286">
        <v>17848.412000000004</v>
      </c>
      <c r="Q14" s="287">
        <v>2258.3289</v>
      </c>
    </row>
    <row r="15" spans="1:17" x14ac:dyDescent="0.25">
      <c r="A15" s="285" t="s">
        <v>167</v>
      </c>
      <c r="B15" s="286">
        <v>5038.6149999999998</v>
      </c>
      <c r="C15" s="286">
        <v>48.004399999999997</v>
      </c>
      <c r="D15" s="286">
        <v>3311.9355999999998</v>
      </c>
      <c r="E15" s="286">
        <v>48.004399999999997</v>
      </c>
      <c r="F15" s="286">
        <v>1934.9654999999998</v>
      </c>
      <c r="G15" s="286">
        <v>0.5</v>
      </c>
      <c r="H15" s="286">
        <v>1770.6952999999999</v>
      </c>
      <c r="I15" s="286">
        <v>0.5</v>
      </c>
      <c r="J15" s="286">
        <v>36401.072200000002</v>
      </c>
      <c r="K15" s="286">
        <v>13739.146799999999</v>
      </c>
      <c r="L15" s="286">
        <v>34501.9732</v>
      </c>
      <c r="M15" s="286">
        <v>13636.499299999999</v>
      </c>
      <c r="N15" s="286">
        <v>7210.1588000000011</v>
      </c>
      <c r="O15" s="286">
        <v>2024.6700999999975</v>
      </c>
      <c r="P15" s="286">
        <v>6557.0455000000002</v>
      </c>
      <c r="Q15" s="287">
        <v>2005.2390999999989</v>
      </c>
    </row>
    <row r="16" spans="1:17" x14ac:dyDescent="0.25">
      <c r="A16" s="285" t="s">
        <v>168</v>
      </c>
      <c r="B16" s="286">
        <v>2529.2004999999999</v>
      </c>
      <c r="C16" s="286">
        <v>8.4</v>
      </c>
      <c r="D16" s="286">
        <v>1548.0463999999999</v>
      </c>
      <c r="E16" s="286">
        <v>8.4</v>
      </c>
      <c r="F16" s="286">
        <v>290.32539999999972</v>
      </c>
      <c r="G16" s="286">
        <v>0</v>
      </c>
      <c r="H16" s="286">
        <v>799.76959999999997</v>
      </c>
      <c r="I16" s="286">
        <v>0</v>
      </c>
      <c r="J16" s="286">
        <v>48338.775600000001</v>
      </c>
      <c r="K16" s="286">
        <v>5909.17</v>
      </c>
      <c r="L16" s="286">
        <v>45153.470200000003</v>
      </c>
      <c r="M16" s="286">
        <v>5836.0451000000003</v>
      </c>
      <c r="N16" s="286">
        <v>36403.496599999999</v>
      </c>
      <c r="O16" s="286">
        <v>-1954.8590999999997</v>
      </c>
      <c r="P16" s="286">
        <v>34690.408900000002</v>
      </c>
      <c r="Q16" s="287">
        <v>-1981.8798999999999</v>
      </c>
    </row>
    <row r="17" spans="1:17" x14ac:dyDescent="0.25">
      <c r="A17" s="285" t="s">
        <v>169</v>
      </c>
      <c r="B17" s="286">
        <v>18370.7556</v>
      </c>
      <c r="C17" s="286">
        <v>261.16700000000003</v>
      </c>
      <c r="D17" s="286">
        <v>2165.1914000000002</v>
      </c>
      <c r="E17" s="286">
        <v>1.6999999999999999E-3</v>
      </c>
      <c r="F17" s="286">
        <v>1168.6350999999995</v>
      </c>
      <c r="G17" s="286">
        <v>42.041400000000039</v>
      </c>
      <c r="H17" s="286">
        <v>431.29610000000025</v>
      </c>
      <c r="I17" s="286">
        <v>0</v>
      </c>
      <c r="J17" s="286">
        <v>57379.303199999995</v>
      </c>
      <c r="K17" s="286">
        <v>33465.240099999995</v>
      </c>
      <c r="L17" s="286">
        <v>35486.762999999999</v>
      </c>
      <c r="M17" s="286">
        <v>13931.695399999999</v>
      </c>
      <c r="N17" s="286">
        <v>6736.0899999999965</v>
      </c>
      <c r="O17" s="286">
        <v>908.98589999999604</v>
      </c>
      <c r="P17" s="286">
        <v>8604.5668000000005</v>
      </c>
      <c r="Q17" s="287">
        <v>-665.77080000000024</v>
      </c>
    </row>
    <row r="18" spans="1:17" x14ac:dyDescent="0.25">
      <c r="A18" s="285" t="s">
        <v>170</v>
      </c>
      <c r="B18" s="286">
        <v>1603.1229000000001</v>
      </c>
      <c r="C18" s="286">
        <v>0</v>
      </c>
      <c r="D18" s="286">
        <v>1176.9319</v>
      </c>
      <c r="E18" s="286">
        <v>0</v>
      </c>
      <c r="F18" s="286">
        <v>1254.9978000000001</v>
      </c>
      <c r="G18" s="286">
        <v>0</v>
      </c>
      <c r="H18" s="286">
        <v>1022.5298</v>
      </c>
      <c r="I18" s="286">
        <v>0</v>
      </c>
      <c r="J18" s="286">
        <v>24644.9015</v>
      </c>
      <c r="K18" s="286">
        <v>3298.3913000000002</v>
      </c>
      <c r="L18" s="286">
        <v>22054.260600000001</v>
      </c>
      <c r="M18" s="286">
        <v>3203.8463000000002</v>
      </c>
      <c r="N18" s="286">
        <v>19208.5851</v>
      </c>
      <c r="O18" s="286">
        <v>278.34240000000045</v>
      </c>
      <c r="P18" s="286">
        <v>17100.537600000003</v>
      </c>
      <c r="Q18" s="287">
        <v>183.79740000000038</v>
      </c>
    </row>
    <row r="19" spans="1:17" x14ac:dyDescent="0.25">
      <c r="A19" s="285" t="s">
        <v>171</v>
      </c>
      <c r="B19" s="286">
        <v>552.279</v>
      </c>
      <c r="C19" s="286">
        <v>61.875500000000002</v>
      </c>
      <c r="D19" s="286">
        <v>419.65260000000001</v>
      </c>
      <c r="E19" s="286">
        <v>61.75</v>
      </c>
      <c r="F19" s="286">
        <v>-977.23910000000001</v>
      </c>
      <c r="G19" s="286">
        <v>-472.89559999999994</v>
      </c>
      <c r="H19" s="286">
        <v>-671.7247000000001</v>
      </c>
      <c r="I19" s="286">
        <v>-472.8956</v>
      </c>
      <c r="J19" s="286">
        <v>23342.855000000003</v>
      </c>
      <c r="K19" s="286">
        <v>7887.8896999999997</v>
      </c>
      <c r="L19" s="286">
        <v>22282.378700000001</v>
      </c>
      <c r="M19" s="286">
        <v>7887.8896999999997</v>
      </c>
      <c r="N19" s="286">
        <v>12643.661500000002</v>
      </c>
      <c r="O19" s="286">
        <v>4140.3222999999998</v>
      </c>
      <c r="P19" s="286">
        <v>12179.266600000001</v>
      </c>
      <c r="Q19" s="287">
        <v>4140.3222999999998</v>
      </c>
    </row>
    <row r="20" spans="1:17" x14ac:dyDescent="0.25">
      <c r="A20" s="285" t="s">
        <v>172</v>
      </c>
      <c r="B20" s="286">
        <v>2810.6307999999999</v>
      </c>
      <c r="C20" s="286">
        <v>0</v>
      </c>
      <c r="D20" s="286">
        <v>2018.6062999999999</v>
      </c>
      <c r="E20" s="286">
        <v>0</v>
      </c>
      <c r="F20" s="286">
        <v>771.80580000000009</v>
      </c>
      <c r="G20" s="286">
        <v>0</v>
      </c>
      <c r="H20" s="286">
        <v>686.48950000000013</v>
      </c>
      <c r="I20" s="286">
        <v>0</v>
      </c>
      <c r="J20" s="286">
        <v>25308.673699999999</v>
      </c>
      <c r="K20" s="286">
        <v>11012.580099999999</v>
      </c>
      <c r="L20" s="286">
        <v>24403.984099999998</v>
      </c>
      <c r="M20" s="286">
        <v>11012.580099999999</v>
      </c>
      <c r="N20" s="286">
        <v>6064.597099999999</v>
      </c>
      <c r="O20" s="286">
        <v>343.80449999999837</v>
      </c>
      <c r="P20" s="286">
        <v>6404.2761999999966</v>
      </c>
      <c r="Q20" s="287">
        <v>343.80449999999837</v>
      </c>
    </row>
    <row r="21" spans="1:17" x14ac:dyDescent="0.25">
      <c r="A21" s="285" t="s">
        <v>173</v>
      </c>
      <c r="B21" s="286">
        <v>7405.5538999999999</v>
      </c>
      <c r="C21" s="286">
        <v>0</v>
      </c>
      <c r="D21" s="286">
        <v>6362.4215999999997</v>
      </c>
      <c r="E21" s="286">
        <v>0</v>
      </c>
      <c r="F21" s="286">
        <v>5706.8316999999997</v>
      </c>
      <c r="G21" s="286">
        <v>-105.468</v>
      </c>
      <c r="H21" s="286">
        <v>5427.0846000000001</v>
      </c>
      <c r="I21" s="286">
        <v>-105.468</v>
      </c>
      <c r="J21" s="286">
        <v>46847.6319</v>
      </c>
      <c r="K21" s="286">
        <v>31302.015299999999</v>
      </c>
      <c r="L21" s="286">
        <v>45123.439999999995</v>
      </c>
      <c r="M21" s="286">
        <v>31209.592799999999</v>
      </c>
      <c r="N21" s="286">
        <v>30436.212100000001</v>
      </c>
      <c r="O21" s="286">
        <v>26944.7657</v>
      </c>
      <c r="P21" s="286">
        <v>29886.859099999994</v>
      </c>
      <c r="Q21" s="287">
        <v>27107.153999999999</v>
      </c>
    </row>
    <row r="22" spans="1:17" x14ac:dyDescent="0.25">
      <c r="A22" s="285" t="s">
        <v>174</v>
      </c>
      <c r="B22" s="286">
        <v>6987.1056000000008</v>
      </c>
      <c r="C22" s="286">
        <v>0</v>
      </c>
      <c r="D22" s="286">
        <v>5477.2735000000002</v>
      </c>
      <c r="E22" s="286">
        <v>0</v>
      </c>
      <c r="F22" s="286">
        <v>4174.7112000000006</v>
      </c>
      <c r="G22" s="286">
        <v>-2.5857000000000001</v>
      </c>
      <c r="H22" s="286">
        <v>4583.2524000000003</v>
      </c>
      <c r="I22" s="286">
        <v>-2.5857000000000001</v>
      </c>
      <c r="J22" s="286">
        <v>30838.182199999999</v>
      </c>
      <c r="K22" s="286">
        <v>672.3116</v>
      </c>
      <c r="L22" s="286">
        <v>27790.9728</v>
      </c>
      <c r="M22" s="286">
        <v>647.51659999999993</v>
      </c>
      <c r="N22" s="286">
        <v>13803.617200000001</v>
      </c>
      <c r="O22" s="286">
        <v>588.85900000000004</v>
      </c>
      <c r="P22" s="286">
        <v>13615.1214</v>
      </c>
      <c r="Q22" s="287">
        <v>564.06399999999996</v>
      </c>
    </row>
    <row r="23" spans="1:17" x14ac:dyDescent="0.25">
      <c r="A23" s="285" t="s">
        <v>175</v>
      </c>
      <c r="B23" s="286">
        <v>12727.102200000001</v>
      </c>
      <c r="C23" s="286">
        <v>26.065300000000001</v>
      </c>
      <c r="D23" s="286">
        <v>7390.8828000000003</v>
      </c>
      <c r="E23" s="286">
        <v>15.032299999999999</v>
      </c>
      <c r="F23" s="286">
        <v>6665.9441000000015</v>
      </c>
      <c r="G23" s="286">
        <v>26.065300000000001</v>
      </c>
      <c r="H23" s="286">
        <v>4815.0826000000006</v>
      </c>
      <c r="I23" s="286">
        <v>15.032299999999999</v>
      </c>
      <c r="J23" s="286">
        <v>76106.095799999996</v>
      </c>
      <c r="K23" s="286">
        <v>27425.4064</v>
      </c>
      <c r="L23" s="286">
        <v>68517.143099999987</v>
      </c>
      <c r="M23" s="286">
        <v>27425.4064</v>
      </c>
      <c r="N23" s="286">
        <v>7255.3171000000002</v>
      </c>
      <c r="O23" s="286">
        <v>19781.124299999999</v>
      </c>
      <c r="P23" s="286">
        <v>5378.640699999989</v>
      </c>
      <c r="Q23" s="287">
        <v>19781.124299999999</v>
      </c>
    </row>
    <row r="24" spans="1:17" x14ac:dyDescent="0.25">
      <c r="A24" s="285" t="s">
        <v>176</v>
      </c>
      <c r="B24" s="286">
        <v>213416.1422</v>
      </c>
      <c r="C24" s="286">
        <v>0</v>
      </c>
      <c r="D24" s="286">
        <v>211309.6023</v>
      </c>
      <c r="E24" s="286">
        <v>0</v>
      </c>
      <c r="F24" s="286">
        <v>208857.0287</v>
      </c>
      <c r="G24" s="286">
        <v>-503.12959999999998</v>
      </c>
      <c r="H24" s="286">
        <v>208191.1182</v>
      </c>
      <c r="I24" s="286">
        <v>-503.12959999999998</v>
      </c>
      <c r="J24" s="286">
        <v>144484.35690000001</v>
      </c>
      <c r="K24" s="286">
        <v>1818.1253000000002</v>
      </c>
      <c r="L24" s="286">
        <v>142350.26020000002</v>
      </c>
      <c r="M24" s="286">
        <v>1701.2090000000001</v>
      </c>
      <c r="N24" s="286">
        <v>134584.83500000002</v>
      </c>
      <c r="O24" s="286">
        <v>1117.8483000000001</v>
      </c>
      <c r="P24" s="286">
        <v>134253.30050000001</v>
      </c>
      <c r="Q24" s="287">
        <v>1000.932</v>
      </c>
    </row>
    <row r="25" spans="1:17" x14ac:dyDescent="0.25">
      <c r="A25" s="285" t="s">
        <v>177</v>
      </c>
      <c r="B25" s="286">
        <v>8069.8142000000007</v>
      </c>
      <c r="C25" s="286">
        <v>0</v>
      </c>
      <c r="D25" s="286">
        <v>6244.7404999999999</v>
      </c>
      <c r="E25" s="286">
        <v>0</v>
      </c>
      <c r="F25" s="286">
        <v>1012.3843000000015</v>
      </c>
      <c r="G25" s="286">
        <v>0</v>
      </c>
      <c r="H25" s="286">
        <v>1541.3427000000001</v>
      </c>
      <c r="I25" s="286">
        <v>0</v>
      </c>
      <c r="J25" s="286">
        <v>66174.319600000003</v>
      </c>
      <c r="K25" s="286">
        <v>37359.965400000001</v>
      </c>
      <c r="L25" s="286">
        <v>59064.691400000003</v>
      </c>
      <c r="M25" s="286">
        <v>37140.4084</v>
      </c>
      <c r="N25" s="286">
        <v>19127.424700000003</v>
      </c>
      <c r="O25" s="286">
        <v>21067.884700000002</v>
      </c>
      <c r="P25" s="286">
        <v>16074.791100000002</v>
      </c>
      <c r="Q25" s="287">
        <v>20848.527699999999</v>
      </c>
    </row>
    <row r="26" spans="1:17" x14ac:dyDescent="0.25">
      <c r="A26" s="285" t="s">
        <v>178</v>
      </c>
      <c r="B26" s="286">
        <v>8971.8676999999989</v>
      </c>
      <c r="C26" s="286">
        <v>0</v>
      </c>
      <c r="D26" s="286">
        <v>4863.2194</v>
      </c>
      <c r="E26" s="286">
        <v>0</v>
      </c>
      <c r="F26" s="286">
        <v>-4794.2737000000016</v>
      </c>
      <c r="G26" s="286">
        <v>0</v>
      </c>
      <c r="H26" s="286">
        <v>-3929.1819999999989</v>
      </c>
      <c r="I26" s="286">
        <v>0</v>
      </c>
      <c r="J26" s="286">
        <v>40013.498599999999</v>
      </c>
      <c r="K26" s="286">
        <v>573.50059999999996</v>
      </c>
      <c r="L26" s="286">
        <v>30376.401699999999</v>
      </c>
      <c r="M26" s="286">
        <v>573.50059999999996</v>
      </c>
      <c r="N26" s="286">
        <v>24723.716399999998</v>
      </c>
      <c r="O26" s="286">
        <v>-962.28149999999994</v>
      </c>
      <c r="P26" s="286">
        <v>23549.6132</v>
      </c>
      <c r="Q26" s="287">
        <v>-962.28149999999994</v>
      </c>
    </row>
    <row r="27" spans="1:17" x14ac:dyDescent="0.25">
      <c r="A27" s="285" t="s">
        <v>179</v>
      </c>
      <c r="B27" s="286">
        <v>3815.4422999999997</v>
      </c>
      <c r="C27" s="286">
        <v>0</v>
      </c>
      <c r="D27" s="286">
        <v>2273.9681</v>
      </c>
      <c r="E27" s="286">
        <v>0</v>
      </c>
      <c r="F27" s="286">
        <v>-3599.2617</v>
      </c>
      <c r="G27" s="286">
        <v>0</v>
      </c>
      <c r="H27" s="286">
        <v>124.08269999999993</v>
      </c>
      <c r="I27" s="286">
        <v>0</v>
      </c>
      <c r="J27" s="286">
        <v>62010.154199999997</v>
      </c>
      <c r="K27" s="286">
        <v>18108.331200000001</v>
      </c>
      <c r="L27" s="286">
        <v>56971.649899999997</v>
      </c>
      <c r="M27" s="286">
        <v>17914.1839</v>
      </c>
      <c r="N27" s="286">
        <v>-4394.998400000004</v>
      </c>
      <c r="O27" s="286">
        <v>-13051.683599999997</v>
      </c>
      <c r="P27" s="286">
        <v>-3008.4392000000007</v>
      </c>
      <c r="Q27" s="287">
        <v>-12927.220299999997</v>
      </c>
    </row>
    <row r="28" spans="1:17" x14ac:dyDescent="0.25">
      <c r="A28" s="285" t="s">
        <v>180</v>
      </c>
      <c r="B28" s="286">
        <v>5916.0007000000005</v>
      </c>
      <c r="C28" s="286">
        <v>0</v>
      </c>
      <c r="D28" s="286">
        <v>1927.4241</v>
      </c>
      <c r="E28" s="286">
        <v>0</v>
      </c>
      <c r="F28" s="286">
        <v>-1117.4341999999997</v>
      </c>
      <c r="G28" s="286">
        <v>0</v>
      </c>
      <c r="H28" s="286">
        <v>-1388.1461000000002</v>
      </c>
      <c r="I28" s="286">
        <v>0</v>
      </c>
      <c r="J28" s="286">
        <v>32797.442300000002</v>
      </c>
      <c r="K28" s="286">
        <v>0</v>
      </c>
      <c r="L28" s="286">
        <v>25049.640900000002</v>
      </c>
      <c r="M28" s="286">
        <v>0</v>
      </c>
      <c r="N28" s="286">
        <v>27794.757400000002</v>
      </c>
      <c r="O28" s="286">
        <v>0</v>
      </c>
      <c r="P28" s="286">
        <v>25049.640900000002</v>
      </c>
      <c r="Q28" s="287">
        <v>0</v>
      </c>
    </row>
    <row r="29" spans="1:17" x14ac:dyDescent="0.25">
      <c r="A29" s="285" t="s">
        <v>181</v>
      </c>
      <c r="B29" s="286">
        <v>1601.7206000000001</v>
      </c>
      <c r="C29" s="286">
        <v>0</v>
      </c>
      <c r="D29" s="286">
        <v>823.94659999999999</v>
      </c>
      <c r="E29" s="286">
        <v>0</v>
      </c>
      <c r="F29" s="286">
        <v>418.06870000000026</v>
      </c>
      <c r="G29" s="286">
        <v>0</v>
      </c>
      <c r="H29" s="286">
        <v>235.57209999999998</v>
      </c>
      <c r="I29" s="286">
        <v>0</v>
      </c>
      <c r="J29" s="286">
        <v>21153.6937</v>
      </c>
      <c r="K29" s="286">
        <v>1224.6167</v>
      </c>
      <c r="L29" s="286">
        <v>19885.479799999997</v>
      </c>
      <c r="M29" s="286">
        <v>1224.6167</v>
      </c>
      <c r="N29" s="286">
        <v>16320.4287</v>
      </c>
      <c r="O29" s="286">
        <v>824.05910000000006</v>
      </c>
      <c r="P29" s="286">
        <v>15705.630099999998</v>
      </c>
      <c r="Q29" s="287">
        <v>824.05910000000006</v>
      </c>
    </row>
    <row r="30" spans="1:17" x14ac:dyDescent="0.25">
      <c r="A30" s="285" t="s">
        <v>182</v>
      </c>
      <c r="B30" s="286">
        <v>452188.46680000005</v>
      </c>
      <c r="C30" s="286">
        <v>214.1259</v>
      </c>
      <c r="D30" s="286">
        <v>414066.83760000003</v>
      </c>
      <c r="E30" s="286">
        <v>0</v>
      </c>
      <c r="F30" s="286">
        <v>398662.53430000006</v>
      </c>
      <c r="G30" s="286">
        <v>-3026.2932000000001</v>
      </c>
      <c r="H30" s="286">
        <v>385662.77310000005</v>
      </c>
      <c r="I30" s="286">
        <v>-3240.4191000000001</v>
      </c>
      <c r="J30" s="286">
        <v>426868.19279999996</v>
      </c>
      <c r="K30" s="286">
        <v>3801.8746000000001</v>
      </c>
      <c r="L30" s="286">
        <v>317943.85469999997</v>
      </c>
      <c r="M30" s="286">
        <v>2586.0212000000001</v>
      </c>
      <c r="N30" s="286">
        <v>261732.94419999997</v>
      </c>
      <c r="O30" s="286">
        <v>3492.9124000000002</v>
      </c>
      <c r="P30" s="286">
        <v>230077.72559999995</v>
      </c>
      <c r="Q30" s="287">
        <v>2277.0590000000002</v>
      </c>
    </row>
    <row r="31" spans="1:17" x14ac:dyDescent="0.25">
      <c r="A31" s="285" t="s">
        <v>183</v>
      </c>
      <c r="B31" s="286">
        <v>69505.735100000005</v>
      </c>
      <c r="C31" s="286">
        <v>1641.8005000000001</v>
      </c>
      <c r="D31" s="286">
        <v>53013.726200000005</v>
      </c>
      <c r="E31" s="286">
        <v>0</v>
      </c>
      <c r="F31" s="286">
        <v>53735.14880000001</v>
      </c>
      <c r="G31" s="286">
        <v>0</v>
      </c>
      <c r="H31" s="286">
        <v>49589.623800000001</v>
      </c>
      <c r="I31" s="286">
        <v>0</v>
      </c>
      <c r="J31" s="286">
        <v>211336.364</v>
      </c>
      <c r="K31" s="286">
        <v>0</v>
      </c>
      <c r="L31" s="286">
        <v>181941.3132</v>
      </c>
      <c r="M31" s="286">
        <v>0</v>
      </c>
      <c r="N31" s="286">
        <v>188582.93640000001</v>
      </c>
      <c r="O31" s="286">
        <v>0</v>
      </c>
      <c r="P31" s="286">
        <v>179328.43170000002</v>
      </c>
      <c r="Q31" s="287">
        <v>0</v>
      </c>
    </row>
    <row r="32" spans="1:17" x14ac:dyDescent="0.25">
      <c r="A32" s="285" t="s">
        <v>184</v>
      </c>
      <c r="B32" s="286">
        <v>21528.495000000003</v>
      </c>
      <c r="C32" s="286">
        <v>0</v>
      </c>
      <c r="D32" s="286">
        <v>9618.7059000000008</v>
      </c>
      <c r="E32" s="286">
        <v>0</v>
      </c>
      <c r="F32" s="286">
        <v>5758.5143000000025</v>
      </c>
      <c r="G32" s="286">
        <v>0</v>
      </c>
      <c r="H32" s="286">
        <v>2027.7820000000011</v>
      </c>
      <c r="I32" s="286">
        <v>0</v>
      </c>
      <c r="J32" s="286">
        <v>97487.440499999997</v>
      </c>
      <c r="K32" s="286">
        <v>3196.2896000000001</v>
      </c>
      <c r="L32" s="286">
        <v>83017.553599999999</v>
      </c>
      <c r="M32" s="286">
        <v>1653.1599999999999</v>
      </c>
      <c r="N32" s="286">
        <v>32728.189400000003</v>
      </c>
      <c r="O32" s="286">
        <v>-525.9373999999998</v>
      </c>
      <c r="P32" s="286">
        <v>30153.615099999995</v>
      </c>
      <c r="Q32" s="287">
        <v>-1551.0347000000002</v>
      </c>
    </row>
    <row r="33" spans="1:17" x14ac:dyDescent="0.25">
      <c r="A33" s="285" t="s">
        <v>185</v>
      </c>
      <c r="B33" s="286">
        <v>9348.5470000000005</v>
      </c>
      <c r="C33" s="286">
        <v>0</v>
      </c>
      <c r="D33" s="286">
        <v>4403.7854000000007</v>
      </c>
      <c r="E33" s="286">
        <v>0</v>
      </c>
      <c r="F33" s="286">
        <v>828.61250000000109</v>
      </c>
      <c r="G33" s="286">
        <v>0</v>
      </c>
      <c r="H33" s="286">
        <v>1726.6740000000009</v>
      </c>
      <c r="I33" s="286">
        <v>0</v>
      </c>
      <c r="J33" s="286">
        <v>30975.404600000002</v>
      </c>
      <c r="K33" s="286">
        <v>0</v>
      </c>
      <c r="L33" s="286">
        <v>25738.115900000001</v>
      </c>
      <c r="M33" s="286">
        <v>0</v>
      </c>
      <c r="N33" s="286">
        <v>23897.674600000002</v>
      </c>
      <c r="O33" s="286">
        <v>0</v>
      </c>
      <c r="P33" s="286">
        <v>23377.4316</v>
      </c>
      <c r="Q33" s="287">
        <v>0</v>
      </c>
    </row>
    <row r="34" spans="1:17" x14ac:dyDescent="0.25">
      <c r="A34" s="285" t="s">
        <v>186</v>
      </c>
      <c r="B34" s="286">
        <v>4629.9261000000006</v>
      </c>
      <c r="C34" s="286">
        <v>0</v>
      </c>
      <c r="D34" s="286">
        <v>1522.3982000000001</v>
      </c>
      <c r="E34" s="286">
        <v>0</v>
      </c>
      <c r="F34" s="286">
        <v>-2290.3307999999997</v>
      </c>
      <c r="G34" s="286">
        <v>-164.65629999999999</v>
      </c>
      <c r="H34" s="286">
        <v>324.22000000000003</v>
      </c>
      <c r="I34" s="286">
        <v>0</v>
      </c>
      <c r="J34" s="286">
        <v>48329.0795</v>
      </c>
      <c r="K34" s="286">
        <v>2574.4054000000001</v>
      </c>
      <c r="L34" s="286">
        <v>39991.303099999997</v>
      </c>
      <c r="M34" s="286">
        <v>2205.9474999999998</v>
      </c>
      <c r="N34" s="286">
        <v>34235.437600000005</v>
      </c>
      <c r="O34" s="286">
        <v>-1699.1375999999996</v>
      </c>
      <c r="P34" s="286">
        <v>30937.611299999997</v>
      </c>
      <c r="Q34" s="287">
        <v>-1526.1785</v>
      </c>
    </row>
    <row r="35" spans="1:17" x14ac:dyDescent="0.25">
      <c r="A35" s="285" t="s">
        <v>187</v>
      </c>
      <c r="B35" s="286">
        <v>996.49609999999996</v>
      </c>
      <c r="C35" s="286">
        <v>80.891300000000001</v>
      </c>
      <c r="D35" s="286">
        <v>782.92619999999999</v>
      </c>
      <c r="E35" s="286">
        <v>33.522100000000002</v>
      </c>
      <c r="F35" s="286">
        <v>442.92449999999997</v>
      </c>
      <c r="G35" s="286">
        <v>0</v>
      </c>
      <c r="H35" s="286">
        <v>431.60250000000002</v>
      </c>
      <c r="I35" s="286">
        <v>0</v>
      </c>
      <c r="J35" s="286">
        <v>1772.2402</v>
      </c>
      <c r="K35" s="286">
        <v>0</v>
      </c>
      <c r="L35" s="286">
        <v>1107.241</v>
      </c>
      <c r="M35" s="286">
        <v>0</v>
      </c>
      <c r="N35" s="286">
        <v>1341.9125999999999</v>
      </c>
      <c r="O35" s="286">
        <v>0</v>
      </c>
      <c r="P35" s="286">
        <v>1107.241</v>
      </c>
      <c r="Q35" s="287">
        <v>0</v>
      </c>
    </row>
    <row r="36" spans="1:17" x14ac:dyDescent="0.25">
      <c r="A36" s="285" t="s">
        <v>188</v>
      </c>
      <c r="B36" s="286">
        <v>5655.2966999999999</v>
      </c>
      <c r="C36" s="286">
        <v>99.312899999999999</v>
      </c>
      <c r="D36" s="286">
        <v>3920.9753000000001</v>
      </c>
      <c r="E36" s="286">
        <v>99.312899999999999</v>
      </c>
      <c r="F36" s="286">
        <v>3269.0122999999999</v>
      </c>
      <c r="G36" s="286">
        <v>-6.6119000000000057</v>
      </c>
      <c r="H36" s="286">
        <v>2569.1709000000001</v>
      </c>
      <c r="I36" s="286">
        <v>-6.6119000000000057</v>
      </c>
      <c r="J36" s="286">
        <v>3153.3735999999999</v>
      </c>
      <c r="K36" s="286">
        <v>0</v>
      </c>
      <c r="L36" s="286">
        <v>2408.4114</v>
      </c>
      <c r="M36" s="286">
        <v>0</v>
      </c>
      <c r="N36" s="286">
        <v>2560.0535</v>
      </c>
      <c r="O36" s="286">
        <v>0</v>
      </c>
      <c r="P36" s="286">
        <v>2384.5446999999999</v>
      </c>
      <c r="Q36" s="287">
        <v>0</v>
      </c>
    </row>
    <row r="37" spans="1:17" x14ac:dyDescent="0.25">
      <c r="A37" s="306" t="s">
        <v>189</v>
      </c>
      <c r="B37" s="307">
        <v>880806.52580000018</v>
      </c>
      <c r="C37" s="307">
        <v>2441.6427999999996</v>
      </c>
      <c r="D37" s="307">
        <v>755770.81910000031</v>
      </c>
      <c r="E37" s="307">
        <v>266.02339999999998</v>
      </c>
      <c r="F37" s="307">
        <v>682850.54509999999</v>
      </c>
      <c r="G37" s="307">
        <v>-4213.0335999999998</v>
      </c>
      <c r="H37" s="307">
        <v>666832.65930000017</v>
      </c>
      <c r="I37" s="307">
        <v>-4315.5775999999996</v>
      </c>
      <c r="J37" s="307">
        <v>1811286.4086</v>
      </c>
      <c r="K37" s="307">
        <v>289070.82799999998</v>
      </c>
      <c r="L37" s="307">
        <v>1542479.5353999999</v>
      </c>
      <c r="M37" s="307">
        <v>262369.13579999999</v>
      </c>
      <c r="N37" s="307">
        <v>1043774.1324</v>
      </c>
      <c r="O37" s="307">
        <v>87123.281799999968</v>
      </c>
      <c r="P37" s="307">
        <v>972483.39509999997</v>
      </c>
      <c r="Q37" s="308">
        <v>82980.04429999998</v>
      </c>
    </row>
    <row r="38" spans="1:17" x14ac:dyDescent="0.25">
      <c r="A38" s="285" t="s">
        <v>330</v>
      </c>
      <c r="B38" s="286">
        <v>7731522.8315000013</v>
      </c>
      <c r="C38" s="286">
        <v>41627.551499999994</v>
      </c>
      <c r="D38" s="286">
        <v>6855359.1769999992</v>
      </c>
      <c r="E38" s="286">
        <v>1426.3036000000002</v>
      </c>
      <c r="F38" s="286">
        <v>-1201859.7184999995</v>
      </c>
      <c r="G38" s="286">
        <v>26151.831399999992</v>
      </c>
      <c r="H38" s="286">
        <v>-1484224.4163000004</v>
      </c>
      <c r="I38" s="286">
        <v>198.19630000000006</v>
      </c>
      <c r="J38" s="286">
        <v>3056665.1998999994</v>
      </c>
      <c r="K38" s="286">
        <v>462624.34129999991</v>
      </c>
      <c r="L38" s="286">
        <v>967051.1324</v>
      </c>
      <c r="M38" s="286">
        <v>5607.6531000000004</v>
      </c>
      <c r="N38" s="286">
        <v>914175.12009999994</v>
      </c>
      <c r="O38" s="286">
        <v>77496.675599999871</v>
      </c>
      <c r="P38" s="286">
        <v>659557.36230000004</v>
      </c>
      <c r="Q38" s="287">
        <v>4802.7755000000006</v>
      </c>
    </row>
    <row r="39" spans="1:17" ht="13.8" thickBot="1" x14ac:dyDescent="0.3">
      <c r="A39" s="309" t="s">
        <v>331</v>
      </c>
      <c r="B39" s="310">
        <v>8612329.3573000021</v>
      </c>
      <c r="C39" s="310">
        <v>44069.194299999996</v>
      </c>
      <c r="D39" s="310">
        <v>7611129.9960999992</v>
      </c>
      <c r="E39" s="310">
        <v>1692.3270000000002</v>
      </c>
      <c r="F39" s="310">
        <v>-519009.1733999995</v>
      </c>
      <c r="G39" s="310">
        <v>21938.797799999993</v>
      </c>
      <c r="H39" s="310">
        <v>-817391.75700000022</v>
      </c>
      <c r="I39" s="310">
        <v>-4117.3812999999991</v>
      </c>
      <c r="J39" s="310">
        <v>4867951.6084999992</v>
      </c>
      <c r="K39" s="310">
        <v>751695.16929999995</v>
      </c>
      <c r="L39" s="310">
        <v>2509530.6677999999</v>
      </c>
      <c r="M39" s="310">
        <v>267976.78889999999</v>
      </c>
      <c r="N39" s="310">
        <v>1957949.2524999999</v>
      </c>
      <c r="O39" s="310">
        <v>164619.95739999984</v>
      </c>
      <c r="P39" s="310">
        <v>1632040.7574</v>
      </c>
      <c r="Q39" s="311">
        <v>87782.819799999983</v>
      </c>
    </row>
    <row r="40" spans="1:17" ht="13.8" thickTop="1" x14ac:dyDescent="0.25"/>
    <row r="41" spans="1:17" x14ac:dyDescent="0.25">
      <c r="B41" s="284">
        <f t="shared" ref="B41:I41" si="0">B37/1000</f>
        <v>880.80652580000014</v>
      </c>
      <c r="C41" s="284">
        <f t="shared" si="0"/>
        <v>2.4416427999999994</v>
      </c>
      <c r="D41" s="284">
        <f t="shared" si="0"/>
        <v>755.77081910000027</v>
      </c>
      <c r="E41" s="284">
        <f t="shared" si="0"/>
        <v>0.26602339999999997</v>
      </c>
      <c r="F41" s="284">
        <f t="shared" si="0"/>
        <v>682.85054509999998</v>
      </c>
      <c r="G41" s="284">
        <f t="shared" si="0"/>
        <v>-4.2130336000000002</v>
      </c>
      <c r="H41" s="284">
        <f t="shared" si="0"/>
        <v>666.83265930000016</v>
      </c>
      <c r="I41" s="284">
        <f t="shared" si="0"/>
        <v>-4.3155775999999992</v>
      </c>
      <c r="J41" s="284">
        <f>J37/1000</f>
        <v>1811.2864086</v>
      </c>
      <c r="K41" s="284">
        <f t="shared" ref="K41:Q41" si="1">K37/1000</f>
        <v>289.07082800000001</v>
      </c>
      <c r="L41" s="284">
        <f t="shared" si="1"/>
        <v>1542.4795354</v>
      </c>
      <c r="M41" s="284">
        <f t="shared" si="1"/>
        <v>262.36913579999998</v>
      </c>
      <c r="N41" s="284">
        <f t="shared" si="1"/>
        <v>1043.7741324000001</v>
      </c>
      <c r="O41" s="284">
        <f t="shared" si="1"/>
        <v>87.123281799999972</v>
      </c>
      <c r="P41" s="284">
        <f t="shared" si="1"/>
        <v>972.48339509999994</v>
      </c>
      <c r="Q41" s="284">
        <f t="shared" si="1"/>
        <v>82.980044299999975</v>
      </c>
    </row>
    <row r="42" spans="1:17" x14ac:dyDescent="0.25">
      <c r="B42" s="284">
        <f t="shared" ref="B42:I42" si="2">B38/1000</f>
        <v>7731.5228315000013</v>
      </c>
      <c r="C42" s="284">
        <f t="shared" si="2"/>
        <v>41.627551499999996</v>
      </c>
      <c r="D42" s="284">
        <f t="shared" si="2"/>
        <v>6855.3591769999994</v>
      </c>
      <c r="E42" s="284">
        <f t="shared" si="2"/>
        <v>1.4263036000000002</v>
      </c>
      <c r="F42" s="284">
        <f t="shared" si="2"/>
        <v>-1201.8597184999994</v>
      </c>
      <c r="G42" s="284">
        <f t="shared" si="2"/>
        <v>26.151831399999992</v>
      </c>
      <c r="H42" s="284">
        <f t="shared" si="2"/>
        <v>-1484.2244163000005</v>
      </c>
      <c r="I42" s="284">
        <f t="shared" si="2"/>
        <v>0.19819630000000008</v>
      </c>
      <c r="J42" s="284">
        <f t="shared" ref="J42:Q43" si="3">J38/1000</f>
        <v>3056.6651998999996</v>
      </c>
      <c r="K42" s="284">
        <f t="shared" si="3"/>
        <v>462.62434129999991</v>
      </c>
      <c r="L42" s="284">
        <f t="shared" si="3"/>
        <v>967.05113240000003</v>
      </c>
      <c r="M42" s="284">
        <f t="shared" si="3"/>
        <v>5.6076531000000003</v>
      </c>
      <c r="N42" s="284">
        <f t="shared" si="3"/>
        <v>914.17512009999996</v>
      </c>
      <c r="O42" s="284">
        <f t="shared" si="3"/>
        <v>77.496675599999875</v>
      </c>
      <c r="P42" s="284">
        <f t="shared" si="3"/>
        <v>659.55736230000002</v>
      </c>
      <c r="Q42" s="284">
        <f t="shared" si="3"/>
        <v>4.802775500000001</v>
      </c>
    </row>
    <row r="43" spans="1:17" x14ac:dyDescent="0.25">
      <c r="B43" s="284">
        <f t="shared" ref="B43:I43" si="4">B39/1000</f>
        <v>8612.3293573000028</v>
      </c>
      <c r="C43" s="284">
        <f t="shared" si="4"/>
        <v>44.069194299999992</v>
      </c>
      <c r="D43" s="284">
        <f t="shared" si="4"/>
        <v>7611.1299960999995</v>
      </c>
      <c r="E43" s="284">
        <f t="shared" si="4"/>
        <v>1.6923270000000001</v>
      </c>
      <c r="F43" s="284">
        <f t="shared" si="4"/>
        <v>-519.00917339999955</v>
      </c>
      <c r="G43" s="284">
        <f t="shared" si="4"/>
        <v>21.938797799999993</v>
      </c>
      <c r="H43" s="284">
        <f t="shared" si="4"/>
        <v>-817.39175700000021</v>
      </c>
      <c r="I43" s="284">
        <f t="shared" si="4"/>
        <v>-4.117381299999999</v>
      </c>
      <c r="J43" s="284">
        <f t="shared" si="3"/>
        <v>4867.9516084999996</v>
      </c>
      <c r="K43" s="284">
        <f t="shared" si="3"/>
        <v>751.69516929999998</v>
      </c>
      <c r="L43" s="284">
        <f t="shared" si="3"/>
        <v>2509.5306677999997</v>
      </c>
      <c r="M43" s="284">
        <f t="shared" si="3"/>
        <v>267.97678889999997</v>
      </c>
      <c r="N43" s="284">
        <f t="shared" si="3"/>
        <v>1957.9492525000001</v>
      </c>
      <c r="O43" s="284">
        <f t="shared" si="3"/>
        <v>164.61995739999983</v>
      </c>
      <c r="P43" s="284">
        <f t="shared" si="3"/>
        <v>1632.0407574000001</v>
      </c>
      <c r="Q43" s="284">
        <f t="shared" si="3"/>
        <v>87.782819799999984</v>
      </c>
    </row>
    <row r="46" spans="1:17" x14ac:dyDescent="0.25">
      <c r="B46" s="523" t="s">
        <v>448</v>
      </c>
      <c r="C46" s="523"/>
      <c r="D46" s="523"/>
      <c r="E46" s="523"/>
      <c r="F46" s="522" t="s">
        <v>451</v>
      </c>
      <c r="G46" s="522"/>
      <c r="H46" s="522"/>
      <c r="I46" s="522"/>
      <c r="J46" s="523" t="s">
        <v>448</v>
      </c>
      <c r="K46" s="523"/>
      <c r="L46" s="523"/>
      <c r="M46" s="523"/>
      <c r="N46" s="522" t="s">
        <v>451</v>
      </c>
      <c r="O46" s="522"/>
      <c r="P46" s="522"/>
      <c r="Q46" s="522"/>
    </row>
    <row r="47" spans="1:17" x14ac:dyDescent="0.25">
      <c r="A47" s="301" t="s">
        <v>450</v>
      </c>
      <c r="B47" s="284">
        <v>949121.07860000001</v>
      </c>
      <c r="C47" s="284">
        <v>2660.5293000000001</v>
      </c>
      <c r="D47" s="284">
        <v>807974.39309999999</v>
      </c>
      <c r="E47" s="284">
        <v>183.42680000000001</v>
      </c>
      <c r="F47" s="374">
        <f>B47-B37</f>
        <v>68314.55279999983</v>
      </c>
      <c r="G47" s="374">
        <f t="shared" ref="G47:I47" si="5">C47-C37</f>
        <v>218.88650000000052</v>
      </c>
      <c r="H47" s="374">
        <f t="shared" si="5"/>
        <v>52203.573999999673</v>
      </c>
      <c r="I47" s="374">
        <f t="shared" si="5"/>
        <v>-82.596599999999967</v>
      </c>
      <c r="J47" s="284">
        <v>1745005.3237999999</v>
      </c>
      <c r="K47" s="284">
        <v>323880.07649999997</v>
      </c>
      <c r="L47" s="284">
        <v>1490537.3894999996</v>
      </c>
      <c r="M47" s="284">
        <v>295200.83620000008</v>
      </c>
      <c r="N47" s="374">
        <f>J47-J37</f>
        <v>-66281.08480000007</v>
      </c>
      <c r="O47" s="374">
        <f t="shared" ref="O47:Q47" si="6">K47-K37</f>
        <v>34809.248499999987</v>
      </c>
      <c r="P47" s="374">
        <f t="shared" si="6"/>
        <v>-51942.145900000352</v>
      </c>
      <c r="Q47" s="374">
        <f t="shared" si="6"/>
        <v>32831.700400000089</v>
      </c>
    </row>
    <row r="48" spans="1:17" x14ac:dyDescent="0.25">
      <c r="A48" s="301" t="s">
        <v>449</v>
      </c>
      <c r="B48" s="284">
        <v>8546623.9139999989</v>
      </c>
      <c r="C48" s="284">
        <v>30151.675999999999</v>
      </c>
      <c r="D48" s="284">
        <v>7692826.5177000016</v>
      </c>
      <c r="E48" s="284">
        <v>1305.1836000000001</v>
      </c>
      <c r="F48" s="374">
        <f>B48-B38</f>
        <v>815101.08249999769</v>
      </c>
      <c r="G48" s="374">
        <f t="shared" ref="G48:I49" si="7">C48-C38</f>
        <v>-11475.875499999995</v>
      </c>
      <c r="H48" s="374">
        <f t="shared" si="7"/>
        <v>837467.34070000239</v>
      </c>
      <c r="I48" s="374">
        <f t="shared" si="7"/>
        <v>-121.12000000000012</v>
      </c>
      <c r="J48" s="284">
        <v>2965256.3728</v>
      </c>
      <c r="K48" s="284">
        <v>419928.49530000001</v>
      </c>
      <c r="L48" s="284">
        <v>874133.66070000001</v>
      </c>
      <c r="M48" s="284">
        <v>1272.9288999999999</v>
      </c>
      <c r="N48" s="374">
        <f t="shared" ref="N48:N49" si="8">J48-J38</f>
        <v>-91408.827099999413</v>
      </c>
      <c r="O48" s="374">
        <f t="shared" ref="O48:O49" si="9">K48-K38</f>
        <v>-42695.845999999903</v>
      </c>
      <c r="P48" s="374">
        <f t="shared" ref="P48:P49" si="10">L48-L38</f>
        <v>-92917.471699999995</v>
      </c>
      <c r="Q48" s="374">
        <f t="shared" ref="Q48:Q49" si="11">M48-M38</f>
        <v>-4334.7242000000006</v>
      </c>
    </row>
    <row r="49" spans="1:17" x14ac:dyDescent="0.25">
      <c r="A49" s="301" t="s">
        <v>360</v>
      </c>
      <c r="B49" s="284">
        <v>9495744.9925999995</v>
      </c>
      <c r="C49" s="284">
        <v>32812.205300000001</v>
      </c>
      <c r="D49" s="284">
        <v>8500800.9108000025</v>
      </c>
      <c r="E49" s="284">
        <v>1488.6104</v>
      </c>
      <c r="F49" s="374">
        <f>B49-B39</f>
        <v>883415.6352999974</v>
      </c>
      <c r="G49" s="374">
        <f t="shared" si="7"/>
        <v>-11256.988999999994</v>
      </c>
      <c r="H49" s="374">
        <f t="shared" si="7"/>
        <v>889670.91470000334</v>
      </c>
      <c r="I49" s="374">
        <f t="shared" si="7"/>
        <v>-203.7166000000002</v>
      </c>
      <c r="J49" s="284">
        <v>4710261.6965999994</v>
      </c>
      <c r="K49" s="284">
        <v>743808.57180000003</v>
      </c>
      <c r="L49" s="284">
        <v>2364671.0501999995</v>
      </c>
      <c r="M49" s="284">
        <v>296473.76510000008</v>
      </c>
      <c r="N49" s="374">
        <f t="shared" si="8"/>
        <v>-157689.91189999972</v>
      </c>
      <c r="O49" s="374">
        <f t="shared" si="9"/>
        <v>-7886.5974999999162</v>
      </c>
      <c r="P49" s="374">
        <f t="shared" si="10"/>
        <v>-144859.61760000046</v>
      </c>
      <c r="Q49" s="374">
        <f t="shared" si="11"/>
        <v>28496.976200000092</v>
      </c>
    </row>
    <row r="51" spans="1:17" x14ac:dyDescent="0.25">
      <c r="M51" s="284">
        <f>M47/M37%-100</f>
        <v>12.5135528231595</v>
      </c>
    </row>
  </sheetData>
  <mergeCells count="26">
    <mergeCell ref="O1:Q1"/>
    <mergeCell ref="A3:Q3"/>
    <mergeCell ref="A5:A9"/>
    <mergeCell ref="B5:I5"/>
    <mergeCell ref="J5:Q5"/>
    <mergeCell ref="B6:E6"/>
    <mergeCell ref="F6:I6"/>
    <mergeCell ref="J6:M6"/>
    <mergeCell ref="N6:Q6"/>
    <mergeCell ref="N7:N9"/>
    <mergeCell ref="F7:F9"/>
    <mergeCell ref="B7:B9"/>
    <mergeCell ref="C7:E7"/>
    <mergeCell ref="O7:Q7"/>
    <mergeCell ref="G7:I7"/>
    <mergeCell ref="J7:J9"/>
    <mergeCell ref="K7:M7"/>
    <mergeCell ref="F46:I46"/>
    <mergeCell ref="P4:Q4"/>
    <mergeCell ref="N46:Q46"/>
    <mergeCell ref="B46:E46"/>
    <mergeCell ref="J46:M46"/>
    <mergeCell ref="P8:P9"/>
    <mergeCell ref="D8:D9"/>
    <mergeCell ref="H8:H9"/>
    <mergeCell ref="L8:L9"/>
  </mergeCells>
  <conditionalFormatting sqref="B11:XFD39">
    <cfRule type="cellIs" dxfId="1" priority="1" operator="equal">
      <formula>0</formula>
    </cfRule>
  </conditionalFormatting>
  <printOptions horizontalCentered="1"/>
  <pageMargins left="0" right="0" top="0.74803149606299213" bottom="0.35433070866141736" header="0.31496062992125984" footer="0.11811023622047245"/>
  <pageSetup paperSize="9" scale="78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J11" sqref="J11"/>
    </sheetView>
  </sheetViews>
  <sheetFormatPr defaultColWidth="9.109375" defaultRowHeight="13.2" x14ac:dyDescent="0.25"/>
  <cols>
    <col min="1" max="1" width="18.109375" style="301" customWidth="1"/>
    <col min="2" max="2" width="11.33203125" style="284" bestFit="1" customWidth="1"/>
    <col min="3" max="3" width="9.109375" style="284"/>
    <col min="4" max="4" width="11.109375" style="284" customWidth="1"/>
    <col min="5" max="5" width="9.109375" style="284"/>
    <col min="6" max="6" width="11.88671875" style="284" bestFit="1" customWidth="1"/>
    <col min="7" max="7" width="9.109375" style="284"/>
    <col min="8" max="8" width="12" style="284" customWidth="1"/>
    <col min="9" max="9" width="9.109375" style="284"/>
    <col min="10" max="10" width="11.33203125" style="284" bestFit="1" customWidth="1"/>
    <col min="11" max="11" width="9.6640625" style="284" bestFit="1" customWidth="1"/>
    <col min="12" max="12" width="10" style="284" customWidth="1"/>
    <col min="13" max="13" width="9.109375" style="284"/>
    <col min="14" max="15" width="9.6640625" style="284" bestFit="1" customWidth="1"/>
    <col min="16" max="16" width="10.88671875" style="284" customWidth="1"/>
    <col min="17" max="16384" width="9.109375" style="284"/>
  </cols>
  <sheetData>
    <row r="1" spans="1:17" s="283" customFormat="1" ht="17.25" customHeight="1" x14ac:dyDescent="0.25">
      <c r="O1" s="524" t="s">
        <v>1150</v>
      </c>
      <c r="P1" s="524"/>
      <c r="Q1" s="524"/>
    </row>
    <row r="2" spans="1:17" s="283" customFormat="1" ht="33.75" customHeight="1" x14ac:dyDescent="0.25">
      <c r="A2" s="474" t="s">
        <v>1151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</row>
    <row r="3" spans="1:17" s="283" customFormat="1" ht="13.8" thickBot="1" x14ac:dyDescent="0.3">
      <c r="P3" s="479" t="s">
        <v>191</v>
      </c>
      <c r="Q3" s="479"/>
    </row>
    <row r="4" spans="1:17" s="295" customFormat="1" ht="13.5" customHeight="1" thickTop="1" x14ac:dyDescent="0.25">
      <c r="A4" s="520" t="s">
        <v>326</v>
      </c>
      <c r="B4" s="525" t="s">
        <v>353</v>
      </c>
      <c r="C4" s="525"/>
      <c r="D4" s="525"/>
      <c r="E4" s="525"/>
      <c r="F4" s="525"/>
      <c r="G4" s="525"/>
      <c r="H4" s="525"/>
      <c r="I4" s="525"/>
      <c r="J4" s="475" t="s">
        <v>354</v>
      </c>
      <c r="K4" s="475"/>
      <c r="L4" s="475"/>
      <c r="M4" s="475"/>
      <c r="N4" s="475"/>
      <c r="O4" s="475"/>
      <c r="P4" s="475"/>
      <c r="Q4" s="476"/>
    </row>
    <row r="5" spans="1:17" s="295" customFormat="1" ht="12.75" customHeight="1" x14ac:dyDescent="0.25">
      <c r="A5" s="521"/>
      <c r="B5" s="526" t="s">
        <v>383</v>
      </c>
      <c r="C5" s="527"/>
      <c r="D5" s="527"/>
      <c r="E5" s="527"/>
      <c r="F5" s="526" t="s">
        <v>391</v>
      </c>
      <c r="G5" s="527"/>
      <c r="H5" s="527"/>
      <c r="I5" s="527"/>
      <c r="J5" s="526" t="s">
        <v>383</v>
      </c>
      <c r="K5" s="527"/>
      <c r="L5" s="527"/>
      <c r="M5" s="527"/>
      <c r="N5" s="477" t="s">
        <v>392</v>
      </c>
      <c r="O5" s="477"/>
      <c r="P5" s="477"/>
      <c r="Q5" s="478"/>
    </row>
    <row r="6" spans="1:17" s="295" customFormat="1" ht="12.75" customHeight="1" x14ac:dyDescent="0.25">
      <c r="A6" s="521"/>
      <c r="B6" s="477" t="s">
        <v>355</v>
      </c>
      <c r="C6" s="477" t="s">
        <v>356</v>
      </c>
      <c r="D6" s="477"/>
      <c r="E6" s="477"/>
      <c r="F6" s="477" t="s">
        <v>355</v>
      </c>
      <c r="G6" s="477" t="s">
        <v>356</v>
      </c>
      <c r="H6" s="477"/>
      <c r="I6" s="477"/>
      <c r="J6" s="477" t="s">
        <v>355</v>
      </c>
      <c r="K6" s="477" t="s">
        <v>356</v>
      </c>
      <c r="L6" s="477"/>
      <c r="M6" s="477"/>
      <c r="N6" s="477" t="s">
        <v>355</v>
      </c>
      <c r="O6" s="477" t="s">
        <v>356</v>
      </c>
      <c r="P6" s="477"/>
      <c r="Q6" s="478"/>
    </row>
    <row r="7" spans="1:17" s="295" customFormat="1" ht="12.75" customHeight="1" x14ac:dyDescent="0.25">
      <c r="A7" s="521"/>
      <c r="B7" s="477"/>
      <c r="C7" s="293" t="s">
        <v>143</v>
      </c>
      <c r="D7" s="477" t="s">
        <v>357</v>
      </c>
      <c r="E7" s="293" t="s">
        <v>143</v>
      </c>
      <c r="F7" s="477"/>
      <c r="G7" s="293" t="s">
        <v>143</v>
      </c>
      <c r="H7" s="477" t="s">
        <v>357</v>
      </c>
      <c r="I7" s="293" t="s">
        <v>143</v>
      </c>
      <c r="J7" s="477"/>
      <c r="K7" s="293" t="s">
        <v>143</v>
      </c>
      <c r="L7" s="477" t="s">
        <v>357</v>
      </c>
      <c r="M7" s="293" t="s">
        <v>143</v>
      </c>
      <c r="N7" s="477"/>
      <c r="O7" s="293" t="s">
        <v>143</v>
      </c>
      <c r="P7" s="477" t="s">
        <v>357</v>
      </c>
      <c r="Q7" s="294" t="s">
        <v>143</v>
      </c>
    </row>
    <row r="8" spans="1:17" s="295" customFormat="1" ht="26.4" x14ac:dyDescent="0.25">
      <c r="A8" s="521"/>
      <c r="B8" s="477"/>
      <c r="C8" s="293" t="s">
        <v>358</v>
      </c>
      <c r="D8" s="477"/>
      <c r="E8" s="293" t="s">
        <v>358</v>
      </c>
      <c r="F8" s="477"/>
      <c r="G8" s="293" t="s">
        <v>358</v>
      </c>
      <c r="H8" s="477"/>
      <c r="I8" s="293" t="s">
        <v>358</v>
      </c>
      <c r="J8" s="477"/>
      <c r="K8" s="293" t="s">
        <v>358</v>
      </c>
      <c r="L8" s="477"/>
      <c r="M8" s="293" t="s">
        <v>358</v>
      </c>
      <c r="N8" s="477"/>
      <c r="O8" s="293" t="s">
        <v>358</v>
      </c>
      <c r="P8" s="477"/>
      <c r="Q8" s="294" t="s">
        <v>358</v>
      </c>
    </row>
    <row r="9" spans="1:17" s="250" customFormat="1" ht="10.199999999999999" x14ac:dyDescent="0.25">
      <c r="A9" s="249">
        <v>1</v>
      </c>
      <c r="B9" s="247">
        <v>2</v>
      </c>
      <c r="C9" s="247">
        <v>3</v>
      </c>
      <c r="D9" s="247">
        <v>4</v>
      </c>
      <c r="E9" s="247">
        <v>5</v>
      </c>
      <c r="F9" s="247">
        <v>6</v>
      </c>
      <c r="G9" s="247">
        <v>7</v>
      </c>
      <c r="H9" s="247">
        <v>8</v>
      </c>
      <c r="I9" s="247">
        <v>9</v>
      </c>
      <c r="J9" s="247">
        <v>10</v>
      </c>
      <c r="K9" s="247">
        <v>11</v>
      </c>
      <c r="L9" s="247">
        <v>12</v>
      </c>
      <c r="M9" s="247">
        <v>13</v>
      </c>
      <c r="N9" s="247">
        <v>14</v>
      </c>
      <c r="O9" s="247">
        <v>15</v>
      </c>
      <c r="P9" s="247">
        <v>16</v>
      </c>
      <c r="Q9" s="248">
        <v>17</v>
      </c>
    </row>
    <row r="10" spans="1:17" s="304" customFormat="1" x14ac:dyDescent="0.25">
      <c r="A10" s="285" t="s">
        <v>334</v>
      </c>
      <c r="B10" s="286">
        <v>12094.273499999999</v>
      </c>
      <c r="C10" s="286">
        <v>0</v>
      </c>
      <c r="D10" s="286">
        <v>2633.8114999999998</v>
      </c>
      <c r="E10" s="286">
        <v>0</v>
      </c>
      <c r="F10" s="286">
        <v>5773.6700999999994</v>
      </c>
      <c r="G10" s="286">
        <v>0</v>
      </c>
      <c r="H10" s="286">
        <v>2621.8428999999996</v>
      </c>
      <c r="I10" s="286">
        <v>0</v>
      </c>
      <c r="J10" s="286">
        <v>13332.8629</v>
      </c>
      <c r="K10" s="286">
        <v>0</v>
      </c>
      <c r="L10" s="286">
        <v>314.40910000000002</v>
      </c>
      <c r="M10" s="286">
        <v>0</v>
      </c>
      <c r="N10" s="286">
        <v>4447.5742000000009</v>
      </c>
      <c r="O10" s="286">
        <v>0</v>
      </c>
      <c r="P10" s="286">
        <v>314.40910000000002</v>
      </c>
      <c r="Q10" s="287">
        <v>0</v>
      </c>
    </row>
    <row r="11" spans="1:17" s="304" customFormat="1" ht="26.4" x14ac:dyDescent="0.25">
      <c r="A11" s="298" t="s">
        <v>335</v>
      </c>
      <c r="B11" s="286">
        <v>0</v>
      </c>
      <c r="C11" s="286">
        <v>0</v>
      </c>
      <c r="D11" s="286">
        <v>0</v>
      </c>
      <c r="E11" s="286">
        <v>0</v>
      </c>
      <c r="F11" s="286">
        <v>-242.9</v>
      </c>
      <c r="G11" s="286">
        <v>0</v>
      </c>
      <c r="H11" s="286">
        <v>0</v>
      </c>
      <c r="I11" s="286">
        <v>0</v>
      </c>
      <c r="J11" s="286">
        <v>0</v>
      </c>
      <c r="K11" s="286">
        <v>0</v>
      </c>
      <c r="L11" s="286">
        <v>0</v>
      </c>
      <c r="M11" s="286">
        <v>0</v>
      </c>
      <c r="N11" s="286">
        <v>-565.18399999999997</v>
      </c>
      <c r="O11" s="286">
        <v>0</v>
      </c>
      <c r="P11" s="286">
        <v>0</v>
      </c>
      <c r="Q11" s="287">
        <v>0</v>
      </c>
    </row>
    <row r="12" spans="1:17" s="304" customFormat="1" x14ac:dyDescent="0.25">
      <c r="A12" s="298" t="s">
        <v>336</v>
      </c>
      <c r="B12" s="286">
        <v>41319.397700000001</v>
      </c>
      <c r="C12" s="286">
        <v>0</v>
      </c>
      <c r="D12" s="286">
        <v>3671.4137999999998</v>
      </c>
      <c r="E12" s="286">
        <v>0</v>
      </c>
      <c r="F12" s="286">
        <v>-13017.893299999996</v>
      </c>
      <c r="G12" s="286">
        <v>0</v>
      </c>
      <c r="H12" s="286">
        <v>1409.4339</v>
      </c>
      <c r="I12" s="286">
        <v>0</v>
      </c>
      <c r="J12" s="286">
        <v>50360.306400000001</v>
      </c>
      <c r="K12" s="286">
        <v>0</v>
      </c>
      <c r="L12" s="286">
        <v>18189.8658</v>
      </c>
      <c r="M12" s="286">
        <v>0</v>
      </c>
      <c r="N12" s="286">
        <v>-82152.263199999987</v>
      </c>
      <c r="O12" s="286">
        <v>-92939.4611</v>
      </c>
      <c r="P12" s="286">
        <v>6111.1685999999991</v>
      </c>
      <c r="Q12" s="287">
        <v>0</v>
      </c>
    </row>
    <row r="13" spans="1:17" s="304" customFormat="1" x14ac:dyDescent="0.25">
      <c r="A13" s="298" t="s">
        <v>337</v>
      </c>
      <c r="B13" s="286">
        <v>6942315.8727000002</v>
      </c>
      <c r="C13" s="286">
        <v>34489.545399999995</v>
      </c>
      <c r="D13" s="286">
        <v>6225833.8012999995</v>
      </c>
      <c r="E13" s="286">
        <v>0</v>
      </c>
      <c r="F13" s="286">
        <v>-1791390.0164000001</v>
      </c>
      <c r="G13" s="286">
        <v>20523.108499999995</v>
      </c>
      <c r="H13" s="286">
        <v>-2055782.3878000006</v>
      </c>
      <c r="I13" s="286">
        <v>0</v>
      </c>
      <c r="J13" s="286">
        <v>2144598.2154000001</v>
      </c>
      <c r="K13" s="286">
        <v>447288.67889999994</v>
      </c>
      <c r="L13" s="286">
        <v>231214.58</v>
      </c>
      <c r="M13" s="286">
        <v>2969.3742000000002</v>
      </c>
      <c r="N13" s="286">
        <v>467933.01170000015</v>
      </c>
      <c r="O13" s="286">
        <v>170134.55259999988</v>
      </c>
      <c r="P13" s="286">
        <v>161096.3713</v>
      </c>
      <c r="Q13" s="287">
        <v>2740.1225000000004</v>
      </c>
    </row>
    <row r="14" spans="1:17" s="304" customFormat="1" ht="26.4" x14ac:dyDescent="0.25">
      <c r="A14" s="298" t="s">
        <v>338</v>
      </c>
      <c r="B14" s="286">
        <v>240.10720000000001</v>
      </c>
      <c r="C14" s="286">
        <v>0</v>
      </c>
      <c r="D14" s="286">
        <v>231.80719999999999</v>
      </c>
      <c r="E14" s="286">
        <v>0</v>
      </c>
      <c r="F14" s="286">
        <v>240.09909999999999</v>
      </c>
      <c r="G14" s="286">
        <v>0</v>
      </c>
      <c r="H14" s="286">
        <v>231.80719999999999</v>
      </c>
      <c r="I14" s="286">
        <v>0</v>
      </c>
      <c r="J14" s="286">
        <v>547.79909999999995</v>
      </c>
      <c r="K14" s="286">
        <v>0</v>
      </c>
      <c r="L14" s="286">
        <v>536.42719999999997</v>
      </c>
      <c r="M14" s="286">
        <v>0</v>
      </c>
      <c r="N14" s="286">
        <v>461.54699999999997</v>
      </c>
      <c r="O14" s="286">
        <v>0</v>
      </c>
      <c r="P14" s="286">
        <v>461.60209999999995</v>
      </c>
      <c r="Q14" s="287">
        <v>0</v>
      </c>
    </row>
    <row r="15" spans="1:17" s="304" customFormat="1" x14ac:dyDescent="0.25">
      <c r="A15" s="298" t="s">
        <v>339</v>
      </c>
      <c r="B15" s="286">
        <v>14651.603899999998</v>
      </c>
      <c r="C15" s="286">
        <v>137.6747</v>
      </c>
      <c r="D15" s="286">
        <v>5063.6468999999997</v>
      </c>
      <c r="E15" s="286">
        <v>65.587699999999998</v>
      </c>
      <c r="F15" s="286">
        <v>2873.1472999999969</v>
      </c>
      <c r="G15" s="286">
        <v>56.791800000000009</v>
      </c>
      <c r="H15" s="286">
        <v>-537.2507999999998</v>
      </c>
      <c r="I15" s="286">
        <v>64.487700000000004</v>
      </c>
      <c r="J15" s="286">
        <v>118598.2525</v>
      </c>
      <c r="K15" s="286">
        <v>9797.9294000000009</v>
      </c>
      <c r="L15" s="286">
        <v>85080.145000000004</v>
      </c>
      <c r="M15" s="286">
        <v>0</v>
      </c>
      <c r="N15" s="286">
        <v>84879.248699999996</v>
      </c>
      <c r="O15" s="286">
        <v>-1159.7052999999996</v>
      </c>
      <c r="P15" s="286">
        <v>73200.820600000006</v>
      </c>
      <c r="Q15" s="287">
        <v>0</v>
      </c>
    </row>
    <row r="16" spans="1:17" s="304" customFormat="1" x14ac:dyDescent="0.25">
      <c r="A16" s="298" t="s">
        <v>340</v>
      </c>
      <c r="B16" s="286">
        <v>506831.54849999998</v>
      </c>
      <c r="C16" s="286">
        <v>0</v>
      </c>
      <c r="D16" s="286">
        <v>492268.30959999998</v>
      </c>
      <c r="E16" s="286">
        <v>0</v>
      </c>
      <c r="F16" s="286">
        <v>496691.08839999995</v>
      </c>
      <c r="G16" s="286">
        <v>0</v>
      </c>
      <c r="H16" s="286">
        <v>489764.02749999997</v>
      </c>
      <c r="I16" s="286">
        <v>0</v>
      </c>
      <c r="J16" s="286">
        <v>46995.933099999995</v>
      </c>
      <c r="K16" s="286">
        <v>0</v>
      </c>
      <c r="L16" s="286">
        <v>42329.286599999999</v>
      </c>
      <c r="M16" s="286">
        <v>0</v>
      </c>
      <c r="N16" s="286">
        <v>24134.470599999993</v>
      </c>
      <c r="O16" s="286">
        <v>0</v>
      </c>
      <c r="P16" s="286">
        <v>23664.675799999997</v>
      </c>
      <c r="Q16" s="287">
        <v>0</v>
      </c>
    </row>
    <row r="17" spans="1:17" s="304" customFormat="1" x14ac:dyDescent="0.25">
      <c r="A17" s="298" t="s">
        <v>341</v>
      </c>
      <c r="B17" s="286">
        <v>138854.79590000003</v>
      </c>
      <c r="C17" s="286">
        <v>5397.3494000000001</v>
      </c>
      <c r="D17" s="286">
        <v>99293.751100000009</v>
      </c>
      <c r="E17" s="286">
        <v>504.37090000000001</v>
      </c>
      <c r="F17" s="286">
        <v>79942.603300000032</v>
      </c>
      <c r="G17" s="286">
        <v>4904.2183999999997</v>
      </c>
      <c r="H17" s="286">
        <v>72730.039800000013</v>
      </c>
      <c r="I17" s="286">
        <v>11.239900000000034</v>
      </c>
      <c r="J17" s="286">
        <v>389574.53029999998</v>
      </c>
      <c r="K17" s="286">
        <v>245.67519999999999</v>
      </c>
      <c r="L17" s="286">
        <v>362817.46100000001</v>
      </c>
      <c r="M17" s="286">
        <v>245.67519999999999</v>
      </c>
      <c r="N17" s="286">
        <v>290849.66489999997</v>
      </c>
      <c r="O17" s="286">
        <v>245.67519999999999</v>
      </c>
      <c r="P17" s="286">
        <v>293764.4215</v>
      </c>
      <c r="Q17" s="287">
        <v>245.67519999999999</v>
      </c>
    </row>
    <row r="18" spans="1:17" s="304" customFormat="1" ht="26.4" x14ac:dyDescent="0.25">
      <c r="A18" s="298" t="s">
        <v>342</v>
      </c>
      <c r="B18" s="286">
        <v>68.600800000000007</v>
      </c>
      <c r="C18" s="286">
        <v>0</v>
      </c>
      <c r="D18" s="286">
        <v>0</v>
      </c>
      <c r="E18" s="286">
        <v>0</v>
      </c>
      <c r="F18" s="286">
        <v>-25.2303</v>
      </c>
      <c r="G18" s="286">
        <v>0</v>
      </c>
      <c r="H18" s="286">
        <v>0</v>
      </c>
      <c r="I18" s="286">
        <v>0</v>
      </c>
      <c r="J18" s="286">
        <v>1085.4539</v>
      </c>
      <c r="K18" s="286">
        <v>0</v>
      </c>
      <c r="L18" s="286">
        <v>0</v>
      </c>
      <c r="M18" s="286">
        <v>0</v>
      </c>
      <c r="N18" s="286">
        <v>-330.83069999999998</v>
      </c>
      <c r="O18" s="286">
        <v>0</v>
      </c>
      <c r="P18" s="286">
        <v>0</v>
      </c>
      <c r="Q18" s="287">
        <v>0</v>
      </c>
    </row>
    <row r="19" spans="1:17" s="304" customFormat="1" x14ac:dyDescent="0.25">
      <c r="A19" s="298" t="s">
        <v>343</v>
      </c>
      <c r="B19" s="286">
        <v>2072.0828999999999</v>
      </c>
      <c r="C19" s="286">
        <v>0</v>
      </c>
      <c r="D19" s="286">
        <v>1261.1766</v>
      </c>
      <c r="E19" s="286">
        <v>0</v>
      </c>
      <c r="F19" s="286">
        <v>1201.6687999999999</v>
      </c>
      <c r="G19" s="286">
        <v>0</v>
      </c>
      <c r="H19" s="286">
        <v>1150.6343999999999</v>
      </c>
      <c r="I19" s="286">
        <v>0</v>
      </c>
      <c r="J19" s="286">
        <v>6717.0564000000004</v>
      </c>
      <c r="K19" s="286">
        <v>0</v>
      </c>
      <c r="L19" s="286">
        <v>5951.1512000000002</v>
      </c>
      <c r="M19" s="286">
        <v>0</v>
      </c>
      <c r="N19" s="286">
        <v>-31036.087899999999</v>
      </c>
      <c r="O19" s="286">
        <v>0</v>
      </c>
      <c r="P19" s="286">
        <v>-31458.3508</v>
      </c>
      <c r="Q19" s="287">
        <v>0</v>
      </c>
    </row>
    <row r="20" spans="1:17" s="304" customFormat="1" ht="26.4" x14ac:dyDescent="0.25">
      <c r="A20" s="298" t="s">
        <v>344</v>
      </c>
      <c r="B20" s="286">
        <v>941.22890000000007</v>
      </c>
      <c r="C20" s="286">
        <v>0</v>
      </c>
      <c r="D20" s="286">
        <v>188.55969999999999</v>
      </c>
      <c r="E20" s="286">
        <v>0</v>
      </c>
      <c r="F20" s="286">
        <v>184.41460000000006</v>
      </c>
      <c r="G20" s="286">
        <v>0</v>
      </c>
      <c r="H20" s="286">
        <v>188.52869999999999</v>
      </c>
      <c r="I20" s="286">
        <v>0</v>
      </c>
      <c r="J20" s="286">
        <v>71306.470900000015</v>
      </c>
      <c r="K20" s="286">
        <v>0</v>
      </c>
      <c r="L20" s="286">
        <v>71107.05290000001</v>
      </c>
      <c r="M20" s="286">
        <v>0</v>
      </c>
      <c r="N20" s="286">
        <v>6929.5725000000166</v>
      </c>
      <c r="O20" s="286">
        <v>0</v>
      </c>
      <c r="P20" s="286">
        <v>6846.1796000000104</v>
      </c>
      <c r="Q20" s="287">
        <v>0</v>
      </c>
    </row>
    <row r="21" spans="1:17" s="304" customFormat="1" ht="26.4" x14ac:dyDescent="0.25">
      <c r="A21" s="298" t="s">
        <v>345</v>
      </c>
      <c r="B21" s="286">
        <v>18285.2153</v>
      </c>
      <c r="C21" s="286">
        <v>1109.7443000000001</v>
      </c>
      <c r="D21" s="286">
        <v>12539.3269</v>
      </c>
      <c r="E21" s="286">
        <v>856.34500000000003</v>
      </c>
      <c r="F21" s="286">
        <v>3235.0543999999991</v>
      </c>
      <c r="G21" s="286">
        <v>174.47500000000002</v>
      </c>
      <c r="H21" s="286">
        <v>2292.0598999999984</v>
      </c>
      <c r="I21" s="286">
        <v>122.46870000000001</v>
      </c>
      <c r="J21" s="286">
        <v>115817.2172</v>
      </c>
      <c r="K21" s="286">
        <v>2392.6037000000001</v>
      </c>
      <c r="L21" s="286">
        <v>102884.55009999999</v>
      </c>
      <c r="M21" s="286">
        <v>2392.6037000000001</v>
      </c>
      <c r="N21" s="286">
        <v>100934.77009999999</v>
      </c>
      <c r="O21" s="286">
        <v>1816.9778000000001</v>
      </c>
      <c r="P21" s="286">
        <v>93581.059499999988</v>
      </c>
      <c r="Q21" s="287">
        <v>1816.9778000000001</v>
      </c>
    </row>
    <row r="22" spans="1:17" s="304" customFormat="1" x14ac:dyDescent="0.25">
      <c r="A22" s="298" t="s">
        <v>346</v>
      </c>
      <c r="B22" s="286">
        <v>3700.0990000000002</v>
      </c>
      <c r="C22" s="286">
        <v>493.23770000000002</v>
      </c>
      <c r="D22" s="286">
        <v>25.8</v>
      </c>
      <c r="E22" s="286">
        <v>0</v>
      </c>
      <c r="F22" s="286">
        <v>3700.0990000000002</v>
      </c>
      <c r="G22" s="286">
        <v>493.23770000000002</v>
      </c>
      <c r="H22" s="286">
        <v>25.8</v>
      </c>
      <c r="I22" s="286">
        <v>0</v>
      </c>
      <c r="J22" s="286">
        <v>5322.8517000000002</v>
      </c>
      <c r="K22" s="286">
        <v>0</v>
      </c>
      <c r="L22" s="286">
        <v>1117.2818</v>
      </c>
      <c r="M22" s="286">
        <v>0</v>
      </c>
      <c r="N22" s="286">
        <v>5322.8517000000002</v>
      </c>
      <c r="O22" s="286">
        <v>0</v>
      </c>
      <c r="P22" s="286">
        <v>1117.2818</v>
      </c>
      <c r="Q22" s="287">
        <v>0</v>
      </c>
    </row>
    <row r="23" spans="1:17" s="304" customFormat="1" ht="26.4" x14ac:dyDescent="0.25">
      <c r="A23" s="298" t="s">
        <v>347</v>
      </c>
      <c r="B23" s="286">
        <v>3000.9018000000001</v>
      </c>
      <c r="C23" s="286">
        <v>0</v>
      </c>
      <c r="D23" s="286">
        <v>551.67360000000008</v>
      </c>
      <c r="E23" s="286">
        <v>0</v>
      </c>
      <c r="F23" s="286">
        <v>952.35920000000033</v>
      </c>
      <c r="G23" s="286">
        <v>0</v>
      </c>
      <c r="H23" s="286">
        <v>-122.43039999999996</v>
      </c>
      <c r="I23" s="286">
        <v>0</v>
      </c>
      <c r="J23" s="286">
        <v>5187.6028999999999</v>
      </c>
      <c r="K23" s="286">
        <v>0</v>
      </c>
      <c r="L23" s="286">
        <v>4467.3956999999991</v>
      </c>
      <c r="M23" s="286">
        <v>0</v>
      </c>
      <c r="N23" s="286">
        <v>4781.7530999999999</v>
      </c>
      <c r="O23" s="286">
        <v>0</v>
      </c>
      <c r="P23" s="286">
        <v>4467.3956999999991</v>
      </c>
      <c r="Q23" s="287">
        <v>0</v>
      </c>
    </row>
    <row r="24" spans="1:17" s="304" customFormat="1" ht="26.4" x14ac:dyDescent="0.25">
      <c r="A24" s="298" t="s">
        <v>1157</v>
      </c>
      <c r="B24" s="286">
        <v>20417.742000000002</v>
      </c>
      <c r="C24" s="286">
        <v>0</v>
      </c>
      <c r="D24" s="286">
        <v>6271.6170000000002</v>
      </c>
      <c r="E24" s="286">
        <v>0</v>
      </c>
      <c r="F24" s="286">
        <v>-625.61909999999625</v>
      </c>
      <c r="G24" s="286">
        <v>0</v>
      </c>
      <c r="H24" s="286">
        <v>-483.46919999999955</v>
      </c>
      <c r="I24" s="286">
        <v>0</v>
      </c>
      <c r="J24" s="286">
        <v>39744.089500000002</v>
      </c>
      <c r="K24" s="286">
        <v>0</v>
      </c>
      <c r="L24" s="286">
        <v>14556.793300000001</v>
      </c>
      <c r="M24" s="286">
        <v>0</v>
      </c>
      <c r="N24" s="286">
        <v>24876.953600000001</v>
      </c>
      <c r="O24" s="286">
        <v>0</v>
      </c>
      <c r="P24" s="286">
        <v>10650.5229</v>
      </c>
      <c r="Q24" s="287">
        <v>0</v>
      </c>
    </row>
    <row r="25" spans="1:17" s="304" customFormat="1" ht="26.4" x14ac:dyDescent="0.25">
      <c r="A25" s="298" t="s">
        <v>348</v>
      </c>
      <c r="B25" s="286">
        <v>8372.6074999999983</v>
      </c>
      <c r="C25" s="286">
        <v>0</v>
      </c>
      <c r="D25" s="286">
        <v>3281.5542</v>
      </c>
      <c r="E25" s="286">
        <v>0</v>
      </c>
      <c r="F25" s="286">
        <v>4145.577699999998</v>
      </c>
      <c r="G25" s="286">
        <v>0</v>
      </c>
      <c r="H25" s="286">
        <v>2412.835</v>
      </c>
      <c r="I25" s="286">
        <v>0</v>
      </c>
      <c r="J25" s="286">
        <v>22646.429399999997</v>
      </c>
      <c r="K25" s="286">
        <v>0</v>
      </c>
      <c r="L25" s="286">
        <v>22636.940999999999</v>
      </c>
      <c r="M25" s="286">
        <v>0</v>
      </c>
      <c r="N25" s="286">
        <v>12290.294199999998</v>
      </c>
      <c r="O25" s="286">
        <v>0</v>
      </c>
      <c r="P25" s="286">
        <v>12382.0409</v>
      </c>
      <c r="Q25" s="287">
        <v>0</v>
      </c>
    </row>
    <row r="26" spans="1:17" ht="26.4" x14ac:dyDescent="0.25">
      <c r="A26" s="298" t="s">
        <v>349</v>
      </c>
      <c r="B26" s="286">
        <v>7837.3024999999998</v>
      </c>
      <c r="C26" s="286">
        <v>0</v>
      </c>
      <c r="D26" s="286">
        <v>3.1675</v>
      </c>
      <c r="E26" s="286">
        <v>0</v>
      </c>
      <c r="F26" s="286">
        <v>2081.5178999999998</v>
      </c>
      <c r="G26" s="286">
        <v>0</v>
      </c>
      <c r="H26" s="286">
        <v>3.1675</v>
      </c>
      <c r="I26" s="286">
        <v>0</v>
      </c>
      <c r="J26" s="286">
        <v>20070.2834</v>
      </c>
      <c r="K26" s="286">
        <v>2899.4540999999999</v>
      </c>
      <c r="L26" s="286">
        <v>1070.0751</v>
      </c>
      <c r="M26" s="286">
        <v>0</v>
      </c>
      <c r="N26" s="286">
        <v>-2102.7272999999986</v>
      </c>
      <c r="O26" s="286">
        <v>-601.36360000000013</v>
      </c>
      <c r="P26" s="286">
        <v>1070.0751</v>
      </c>
      <c r="Q26" s="287">
        <v>0</v>
      </c>
    </row>
    <row r="27" spans="1:17" ht="26.4" x14ac:dyDescent="0.25">
      <c r="A27" s="298" t="s">
        <v>350</v>
      </c>
      <c r="B27" s="286">
        <v>61.7742</v>
      </c>
      <c r="C27" s="286">
        <v>0</v>
      </c>
      <c r="D27" s="286">
        <v>61.7742</v>
      </c>
      <c r="E27" s="286">
        <v>0</v>
      </c>
      <c r="F27" s="286">
        <v>61.7742</v>
      </c>
      <c r="G27" s="286">
        <v>0</v>
      </c>
      <c r="H27" s="286">
        <v>61.7742</v>
      </c>
      <c r="I27" s="286">
        <v>0</v>
      </c>
      <c r="J27" s="286">
        <v>564.30680000000007</v>
      </c>
      <c r="K27" s="286">
        <v>0</v>
      </c>
      <c r="L27" s="286">
        <v>554.30680000000007</v>
      </c>
      <c r="M27" s="286">
        <v>0</v>
      </c>
      <c r="N27" s="286">
        <v>564.30680000000007</v>
      </c>
      <c r="O27" s="286">
        <v>0</v>
      </c>
      <c r="P27" s="286">
        <v>554.30680000000007</v>
      </c>
      <c r="Q27" s="287">
        <v>0</v>
      </c>
    </row>
    <row r="28" spans="1:17" ht="26.4" x14ac:dyDescent="0.25">
      <c r="A28" s="298" t="s">
        <v>351</v>
      </c>
      <c r="B28" s="286">
        <v>10457.6772</v>
      </c>
      <c r="C28" s="286">
        <v>0</v>
      </c>
      <c r="D28" s="286">
        <v>2177.9859000000001</v>
      </c>
      <c r="E28" s="286">
        <v>0</v>
      </c>
      <c r="F28" s="286">
        <v>2358.8665999999994</v>
      </c>
      <c r="G28" s="286">
        <v>0</v>
      </c>
      <c r="H28" s="286">
        <v>-190.82909999999993</v>
      </c>
      <c r="I28" s="286">
        <v>0</v>
      </c>
      <c r="J28" s="286">
        <v>4195.5380999999998</v>
      </c>
      <c r="K28" s="286">
        <v>0</v>
      </c>
      <c r="L28" s="286">
        <v>2223.4097999999999</v>
      </c>
      <c r="M28" s="286">
        <v>0</v>
      </c>
      <c r="N28" s="286">
        <v>1956.1940999999997</v>
      </c>
      <c r="O28" s="286">
        <v>0</v>
      </c>
      <c r="P28" s="286">
        <v>1733.3817999999999</v>
      </c>
      <c r="Q28" s="287">
        <v>0</v>
      </c>
    </row>
    <row r="29" spans="1:17" s="246" customFormat="1" ht="13.8" thickBot="1" x14ac:dyDescent="0.3">
      <c r="A29" s="242" t="s">
        <v>352</v>
      </c>
      <c r="B29" s="236">
        <v>7731522.8315000013</v>
      </c>
      <c r="C29" s="236">
        <v>41627.551499999994</v>
      </c>
      <c r="D29" s="236">
        <v>6855359.1769999992</v>
      </c>
      <c r="E29" s="236">
        <v>1426.3036000000002</v>
      </c>
      <c r="F29" s="236">
        <v>-1201859.7184999995</v>
      </c>
      <c r="G29" s="236">
        <v>26151.831399999992</v>
      </c>
      <c r="H29" s="236">
        <v>-1484224.4163000004</v>
      </c>
      <c r="I29" s="236">
        <v>198.19630000000006</v>
      </c>
      <c r="J29" s="236">
        <v>3056665.1998999994</v>
      </c>
      <c r="K29" s="236">
        <v>462624.34129999991</v>
      </c>
      <c r="L29" s="236">
        <v>967051.1324</v>
      </c>
      <c r="M29" s="236">
        <v>5607.6531000000004</v>
      </c>
      <c r="N29" s="236">
        <v>914175.12009999994</v>
      </c>
      <c r="O29" s="236">
        <v>77496.675599999871</v>
      </c>
      <c r="P29" s="236">
        <v>659557.36230000004</v>
      </c>
      <c r="Q29" s="236">
        <v>4802.7755000000006</v>
      </c>
    </row>
    <row r="30" spans="1:17" ht="13.8" thickTop="1" x14ac:dyDescent="0.25"/>
  </sheetData>
  <mergeCells count="22">
    <mergeCell ref="P3:Q3"/>
    <mergeCell ref="O1:Q1"/>
    <mergeCell ref="A2:Q2"/>
    <mergeCell ref="A4:A8"/>
    <mergeCell ref="B4:I4"/>
    <mergeCell ref="J4:Q4"/>
    <mergeCell ref="B5:E5"/>
    <mergeCell ref="F5:I5"/>
    <mergeCell ref="J5:M5"/>
    <mergeCell ref="N5:Q5"/>
    <mergeCell ref="B6:B8"/>
    <mergeCell ref="P7:P8"/>
    <mergeCell ref="O6:Q6"/>
    <mergeCell ref="D7:D8"/>
    <mergeCell ref="N6:N8"/>
    <mergeCell ref="L7:L8"/>
    <mergeCell ref="J6:J8"/>
    <mergeCell ref="K6:M6"/>
    <mergeCell ref="C6:E6"/>
    <mergeCell ref="F6:F8"/>
    <mergeCell ref="H7:H8"/>
    <mergeCell ref="G6:I6"/>
  </mergeCells>
  <conditionalFormatting sqref="J10:M28">
    <cfRule type="cellIs" dxfId="0" priority="1" operator="equal">
      <formula>0</formula>
    </cfRule>
  </conditionalFormatting>
  <printOptions horizontalCentered="1"/>
  <pageMargins left="0" right="0" top="0.74803149606299213" bottom="0.35433070866141736" header="0.31496062992125984" footer="0.11811023622047245"/>
  <pageSetup paperSize="9" scale="81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63"/>
  <sheetViews>
    <sheetView workbookViewId="0">
      <pane xSplit="1" ySplit="6" topLeftCell="DD7" activePane="bottomRight" state="frozen"/>
      <selection pane="topRight" activeCell="B1" sqref="B1"/>
      <selection pane="bottomLeft" activeCell="A7" sqref="A7"/>
      <selection pane="bottomRight" activeCell="BT12" sqref="BT12"/>
    </sheetView>
  </sheetViews>
  <sheetFormatPr defaultColWidth="9.109375" defaultRowHeight="13.2" x14ac:dyDescent="0.25"/>
  <cols>
    <col min="1" max="1" width="21" style="197" bestFit="1" customWidth="1"/>
    <col min="2" max="5" width="9.109375" style="198" customWidth="1"/>
    <col min="6" max="6" width="12.33203125" style="201" bestFit="1" customWidth="1"/>
    <col min="7" max="10" width="9.109375" style="198" customWidth="1"/>
    <col min="11" max="11" width="13.109375" style="201" customWidth="1"/>
    <col min="12" max="14" width="9.109375" style="198" customWidth="1"/>
    <col min="15" max="15" width="11.33203125" style="201" bestFit="1" customWidth="1"/>
    <col min="16" max="18" width="9.109375" style="198" customWidth="1"/>
    <col min="19" max="19" width="11.33203125" style="201" bestFit="1" customWidth="1"/>
    <col min="20" max="23" width="9.109375" style="198" customWidth="1"/>
    <col min="24" max="24" width="12.33203125" style="201" bestFit="1" customWidth="1"/>
    <col min="25" max="28" width="9.109375" style="198" customWidth="1"/>
    <col min="29" max="31" width="12.33203125" style="201" bestFit="1" customWidth="1"/>
    <col min="32" max="32" width="5.109375" style="201" bestFit="1" customWidth="1"/>
    <col min="33" max="33" width="12.33203125" style="201" bestFit="1" customWidth="1"/>
    <col min="34" max="34" width="12.33203125" style="201" customWidth="1"/>
    <col min="35" max="35" width="11.33203125" style="201" bestFit="1" customWidth="1"/>
    <col min="36" max="36" width="9.109375" style="201" customWidth="1"/>
    <col min="37" max="38" width="12.33203125" style="201" bestFit="1" customWidth="1"/>
    <col min="39" max="39" width="5.109375" style="201" bestFit="1" customWidth="1"/>
    <col min="40" max="43" width="9.109375" style="198" customWidth="1"/>
    <col min="44" max="44" width="9.109375" style="201" customWidth="1"/>
    <col min="45" max="45" width="12.33203125" style="201" bestFit="1" customWidth="1"/>
    <col min="46" max="49" width="9.109375" style="198" customWidth="1"/>
    <col min="50" max="50" width="9.109375" style="201" customWidth="1"/>
    <col min="51" max="53" width="12.33203125" style="201" bestFit="1" customWidth="1"/>
    <col min="54" max="54" width="5.109375" style="201" bestFit="1" customWidth="1"/>
    <col min="55" max="58" width="9.109375" style="198" customWidth="1"/>
    <col min="59" max="59" width="12.33203125" style="201" bestFit="1" customWidth="1"/>
    <col min="60" max="63" width="9.109375" style="198" customWidth="1"/>
    <col min="64" max="64" width="12.33203125" style="201" bestFit="1" customWidth="1"/>
    <col min="65" max="65" width="11.33203125" style="198" customWidth="1"/>
    <col min="66" max="66" width="11.33203125" style="201" customWidth="1"/>
    <col min="67" max="67" width="11.33203125" style="198" customWidth="1"/>
    <col min="68" max="68" width="11.33203125" style="201" customWidth="1"/>
    <col min="69" max="69" width="6.109375" style="201" customWidth="1"/>
    <col min="70" max="70" width="7.44140625" style="198" customWidth="1"/>
    <col min="71" max="71" width="9.6640625" style="201" bestFit="1" customWidth="1"/>
    <col min="72" max="72" width="8" style="198" customWidth="1"/>
    <col min="73" max="73" width="9" style="201" customWidth="1"/>
    <col min="74" max="75" width="6.109375" style="201" customWidth="1"/>
    <col min="76" max="76" width="9.6640625" style="201" bestFit="1" customWidth="1"/>
    <col min="77" max="77" width="9.6640625" style="198" customWidth="1"/>
    <col min="78" max="78" width="9.6640625" style="201" customWidth="1"/>
    <col min="79" max="79" width="6.109375" style="201" customWidth="1"/>
    <col min="80" max="80" width="9.6640625" style="201" bestFit="1" customWidth="1"/>
    <col min="81" max="81" width="6.109375" style="201" customWidth="1"/>
    <col min="82" max="83" width="10" style="201" customWidth="1"/>
    <col min="84" max="84" width="8.5546875" style="201" customWidth="1"/>
    <col min="85" max="85" width="11.33203125" style="201" bestFit="1" customWidth="1"/>
    <col min="86" max="86" width="6.109375" style="201" customWidth="1"/>
    <col min="87" max="87" width="11.33203125" style="201" bestFit="1" customWidth="1"/>
    <col min="88" max="88" width="6.109375" style="201" customWidth="1"/>
    <col min="89" max="89" width="12.33203125" style="201" bestFit="1" customWidth="1"/>
    <col min="90" max="90" width="9.5546875" style="201" customWidth="1"/>
    <col min="91" max="91" width="9.33203125" style="198" customWidth="1"/>
    <col min="92" max="92" width="11.33203125" style="201" customWidth="1"/>
    <col min="93" max="93" width="8.88671875" style="198" customWidth="1"/>
    <col min="94" max="98" width="11.33203125" style="201" customWidth="1"/>
    <col min="99" max="99" width="15.109375" style="201" customWidth="1"/>
    <col min="100" max="100" width="12.33203125" style="201" bestFit="1" customWidth="1"/>
    <col min="101" max="101" width="11.33203125" style="201" bestFit="1" customWidth="1"/>
    <col min="102" max="105" width="9.109375" style="198" customWidth="1"/>
    <col min="106" max="106" width="12.33203125" style="201" bestFit="1" customWidth="1"/>
    <col min="107" max="110" width="9.109375" style="198" customWidth="1"/>
    <col min="111" max="113" width="12.33203125" style="201" bestFit="1" customWidth="1"/>
    <col min="114" max="114" width="5.88671875" style="201" customWidth="1"/>
    <col min="115" max="115" width="9.109375" style="198" customWidth="1"/>
    <col min="116" max="116" width="11.33203125" style="201" bestFit="1" customWidth="1"/>
    <col min="117" max="117" width="9.109375" style="198" customWidth="1"/>
    <col min="118" max="118" width="11.33203125" style="201" bestFit="1" customWidth="1"/>
    <col min="119" max="119" width="11.33203125" style="198" customWidth="1"/>
    <col min="120" max="120" width="11.33203125" style="201" customWidth="1"/>
    <col min="121" max="121" width="11.33203125" style="198" customWidth="1"/>
    <col min="122" max="123" width="11.33203125" style="201" customWidth="1"/>
    <col min="124" max="16384" width="9.109375" style="199"/>
  </cols>
  <sheetData>
    <row r="1" spans="1:129" s="192" customFormat="1" x14ac:dyDescent="0.25">
      <c r="B1" s="193"/>
      <c r="C1" s="193"/>
      <c r="D1" s="193"/>
      <c r="E1" s="193"/>
      <c r="G1" s="193"/>
      <c r="H1" s="193"/>
      <c r="I1" s="193"/>
      <c r="J1" s="193"/>
      <c r="L1" s="193"/>
      <c r="M1" s="193"/>
      <c r="N1" s="193"/>
      <c r="P1" s="193"/>
      <c r="Q1" s="193"/>
      <c r="R1" s="193"/>
      <c r="T1" s="193"/>
      <c r="U1" s="193"/>
      <c r="V1" s="193"/>
      <c r="W1" s="193"/>
      <c r="Y1" s="193"/>
      <c r="Z1" s="193"/>
      <c r="AA1" s="193"/>
      <c r="AB1" s="193"/>
      <c r="AN1" s="193"/>
      <c r="AO1" s="193"/>
      <c r="AP1" s="193"/>
      <c r="AQ1" s="193"/>
      <c r="AT1" s="193"/>
      <c r="AU1" s="193"/>
      <c r="AV1" s="193"/>
      <c r="AW1" s="193"/>
      <c r="BC1" s="193"/>
      <c r="BD1" s="193"/>
      <c r="BE1" s="193"/>
      <c r="BF1" s="193"/>
      <c r="BH1" s="193"/>
      <c r="BI1" s="193"/>
      <c r="BJ1" s="193"/>
      <c r="BK1" s="193"/>
      <c r="BM1" s="193"/>
      <c r="BO1" s="193"/>
      <c r="BR1" s="193"/>
      <c r="BT1" s="193"/>
      <c r="BY1" s="193"/>
      <c r="CM1" s="193"/>
      <c r="CO1" s="193"/>
      <c r="CX1" s="193"/>
      <c r="CY1" s="193"/>
      <c r="CZ1" s="193"/>
      <c r="DA1" s="193"/>
      <c r="DC1" s="193"/>
      <c r="DD1" s="193"/>
      <c r="DE1" s="193"/>
      <c r="DF1" s="193"/>
      <c r="DK1" s="193"/>
      <c r="DM1" s="193"/>
      <c r="DO1" s="193"/>
      <c r="DQ1" s="193"/>
    </row>
    <row r="2" spans="1:129" s="192" customFormat="1" x14ac:dyDescent="0.25">
      <c r="B2" s="193"/>
      <c r="C2" s="193"/>
      <c r="D2" s="193"/>
      <c r="E2" s="193"/>
      <c r="G2" s="193"/>
      <c r="H2" s="193"/>
      <c r="I2" s="193"/>
      <c r="J2" s="193"/>
      <c r="L2" s="193"/>
      <c r="M2" s="193"/>
      <c r="N2" s="193"/>
      <c r="P2" s="193"/>
      <c r="Q2" s="193"/>
      <c r="R2" s="193"/>
      <c r="T2" s="193"/>
      <c r="U2" s="193"/>
      <c r="V2" s="193"/>
      <c r="W2" s="193"/>
      <c r="Y2" s="193"/>
      <c r="Z2" s="193"/>
      <c r="AA2" s="193"/>
      <c r="AB2" s="193"/>
      <c r="AN2" s="193"/>
      <c r="AO2" s="193"/>
      <c r="AP2" s="193"/>
      <c r="AQ2" s="193"/>
      <c r="AT2" s="193"/>
      <c r="AU2" s="193"/>
      <c r="AV2" s="193"/>
      <c r="AW2" s="193"/>
      <c r="BC2" s="193"/>
      <c r="BD2" s="193"/>
      <c r="BE2" s="193"/>
      <c r="BF2" s="193"/>
      <c r="BH2" s="193"/>
      <c r="BI2" s="193"/>
      <c r="BJ2" s="193"/>
      <c r="BK2" s="193"/>
      <c r="BM2" s="193"/>
      <c r="BO2" s="193"/>
      <c r="BR2" s="193"/>
      <c r="BT2" s="193"/>
      <c r="BY2" s="193"/>
      <c r="CM2" s="193"/>
      <c r="CO2" s="193"/>
      <c r="CX2" s="193"/>
      <c r="CY2" s="193"/>
      <c r="CZ2" s="193"/>
      <c r="DA2" s="193"/>
      <c r="DC2" s="193"/>
      <c r="DD2" s="193"/>
      <c r="DE2" s="193"/>
      <c r="DF2" s="193"/>
      <c r="DK2" s="193"/>
      <c r="DM2" s="193"/>
      <c r="DO2" s="193"/>
      <c r="DQ2" s="193"/>
    </row>
    <row r="3" spans="1:129" s="192" customFormat="1" x14ac:dyDescent="0.25">
      <c r="B3" s="193"/>
      <c r="C3" s="193"/>
      <c r="D3" s="193"/>
      <c r="E3" s="193"/>
      <c r="G3" s="193"/>
      <c r="H3" s="193"/>
      <c r="I3" s="193"/>
      <c r="J3" s="193"/>
      <c r="L3" s="193"/>
      <c r="M3" s="193"/>
      <c r="N3" s="193"/>
      <c r="P3" s="193"/>
      <c r="Q3" s="193"/>
      <c r="R3" s="193"/>
      <c r="T3" s="193"/>
      <c r="U3" s="193"/>
      <c r="V3" s="193"/>
      <c r="W3" s="193"/>
      <c r="Y3" s="193"/>
      <c r="Z3" s="193"/>
      <c r="AA3" s="193"/>
      <c r="AB3" s="193"/>
      <c r="AN3" s="193"/>
      <c r="AO3" s="193"/>
      <c r="AP3" s="193"/>
      <c r="AQ3" s="193"/>
      <c r="AT3" s="193"/>
      <c r="AU3" s="193"/>
      <c r="AV3" s="193"/>
      <c r="AW3" s="193"/>
      <c r="BC3" s="193"/>
      <c r="BD3" s="193"/>
      <c r="BE3" s="193"/>
      <c r="BF3" s="193"/>
      <c r="BH3" s="193"/>
      <c r="BI3" s="193"/>
      <c r="BJ3" s="193"/>
      <c r="BK3" s="193"/>
      <c r="BM3" s="193"/>
      <c r="BO3" s="193"/>
      <c r="BR3" s="193"/>
      <c r="BT3" s="193"/>
      <c r="BY3" s="193"/>
      <c r="CM3" s="193"/>
      <c r="CO3" s="193"/>
      <c r="CX3" s="193"/>
      <c r="CY3" s="193"/>
      <c r="CZ3" s="193"/>
      <c r="DA3" s="193"/>
      <c r="DC3" s="193"/>
      <c r="DD3" s="193"/>
      <c r="DE3" s="193"/>
      <c r="DF3" s="193"/>
      <c r="DK3" s="193"/>
      <c r="DM3" s="193"/>
      <c r="DO3" s="193"/>
      <c r="DQ3" s="193"/>
    </row>
    <row r="4" spans="1:129" s="194" customFormat="1" ht="64.5" customHeight="1" x14ac:dyDescent="0.25">
      <c r="A4" s="528" t="s">
        <v>132</v>
      </c>
      <c r="B4" s="528" t="s">
        <v>133</v>
      </c>
      <c r="C4" s="528"/>
      <c r="D4" s="528"/>
      <c r="E4" s="528"/>
      <c r="F4" s="528"/>
      <c r="G4" s="528"/>
      <c r="H4" s="528"/>
      <c r="I4" s="528"/>
      <c r="J4" s="528"/>
      <c r="K4" s="528"/>
      <c r="L4" s="528" t="s">
        <v>134</v>
      </c>
      <c r="M4" s="528"/>
      <c r="N4" s="528"/>
      <c r="O4" s="528"/>
      <c r="P4" s="528"/>
      <c r="Q4" s="528"/>
      <c r="R4" s="528"/>
      <c r="S4" s="528"/>
      <c r="T4" s="528" t="s">
        <v>135</v>
      </c>
      <c r="U4" s="528"/>
      <c r="V4" s="528"/>
      <c r="W4" s="528"/>
      <c r="X4" s="528"/>
      <c r="Y4" s="528"/>
      <c r="Z4" s="528"/>
      <c r="AA4" s="528"/>
      <c r="AB4" s="528"/>
      <c r="AC4" s="528"/>
      <c r="AD4" s="528" t="s">
        <v>136</v>
      </c>
      <c r="AE4" s="528"/>
      <c r="AF4" s="528"/>
      <c r="AG4" s="529" t="s">
        <v>137</v>
      </c>
      <c r="AH4" s="529"/>
      <c r="AI4" s="529"/>
      <c r="AJ4" s="529"/>
      <c r="AK4" s="528" t="s">
        <v>138</v>
      </c>
      <c r="AL4" s="528"/>
      <c r="AM4" s="528"/>
      <c r="AN4" s="528" t="s">
        <v>139</v>
      </c>
      <c r="AO4" s="528"/>
      <c r="AP4" s="528"/>
      <c r="AQ4" s="528"/>
      <c r="AR4" s="528"/>
      <c r="AS4" s="528"/>
      <c r="AT4" s="528"/>
      <c r="AU4" s="528"/>
      <c r="AV4" s="528"/>
      <c r="AW4" s="528"/>
      <c r="AX4" s="528"/>
      <c r="AY4" s="528"/>
      <c r="AZ4" s="528" t="s">
        <v>140</v>
      </c>
      <c r="BA4" s="528"/>
      <c r="BB4" s="528"/>
      <c r="BC4" s="528" t="s">
        <v>141</v>
      </c>
      <c r="BD4" s="528"/>
      <c r="BE4" s="528"/>
      <c r="BF4" s="528"/>
      <c r="BG4" s="528"/>
      <c r="BH4" s="528"/>
      <c r="BI4" s="528"/>
      <c r="BJ4" s="528"/>
      <c r="BK4" s="528"/>
      <c r="BL4" s="528"/>
      <c r="BM4" s="528" t="s">
        <v>33</v>
      </c>
      <c r="BN4" s="528"/>
      <c r="BO4" s="528"/>
      <c r="BP4" s="528"/>
      <c r="BQ4" s="528"/>
      <c r="BR4" s="528" t="s">
        <v>142</v>
      </c>
      <c r="BS4" s="528"/>
      <c r="BT4" s="528"/>
      <c r="BU4" s="528"/>
      <c r="BV4" s="528"/>
      <c r="BW4" s="528" t="s">
        <v>34</v>
      </c>
      <c r="BX4" s="528"/>
      <c r="BY4" s="528"/>
      <c r="BZ4" s="528"/>
      <c r="CA4" s="528"/>
      <c r="CB4" s="528"/>
      <c r="CC4" s="528"/>
      <c r="CD4" s="528"/>
      <c r="CE4" s="528"/>
      <c r="CF4" s="528" t="s">
        <v>38</v>
      </c>
      <c r="CG4" s="528"/>
      <c r="CH4" s="528"/>
      <c r="CI4" s="528"/>
      <c r="CJ4" s="528"/>
      <c r="CK4" s="528" t="s">
        <v>144</v>
      </c>
      <c r="CL4" s="194" t="s">
        <v>143</v>
      </c>
      <c r="CM4" s="528" t="s">
        <v>379</v>
      </c>
      <c r="CN4" s="528"/>
      <c r="CO4" s="528" t="s">
        <v>143</v>
      </c>
      <c r="CP4" s="528"/>
      <c r="CQ4" s="528" t="s">
        <v>380</v>
      </c>
      <c r="CR4" s="194" t="s">
        <v>143</v>
      </c>
      <c r="CS4" s="528" t="s">
        <v>145</v>
      </c>
      <c r="CT4" s="528"/>
      <c r="CU4" s="528" t="s">
        <v>190</v>
      </c>
      <c r="CV4" s="528" t="s">
        <v>381</v>
      </c>
      <c r="CW4" s="528" t="s">
        <v>382</v>
      </c>
      <c r="CX4" s="528" t="s">
        <v>146</v>
      </c>
      <c r="CY4" s="528"/>
      <c r="CZ4" s="528"/>
      <c r="DA4" s="528"/>
      <c r="DB4" s="528"/>
      <c r="DC4" s="528"/>
      <c r="DD4" s="528"/>
      <c r="DE4" s="528"/>
      <c r="DF4" s="528"/>
      <c r="DG4" s="528"/>
      <c r="DH4" s="528" t="s">
        <v>147</v>
      </c>
      <c r="DI4" s="528"/>
      <c r="DJ4" s="528"/>
      <c r="DK4" s="528" t="s">
        <v>148</v>
      </c>
      <c r="DL4" s="528"/>
      <c r="DM4" s="528"/>
      <c r="DN4" s="528"/>
      <c r="DO4" s="528" t="s">
        <v>434</v>
      </c>
      <c r="DP4" s="528"/>
      <c r="DQ4" s="528"/>
      <c r="DR4" s="528"/>
      <c r="DS4" s="528"/>
      <c r="DT4" s="528" t="s">
        <v>362</v>
      </c>
      <c r="DU4" s="528"/>
      <c r="DV4" s="528"/>
      <c r="DW4" s="528"/>
      <c r="DX4" s="528"/>
      <c r="DY4" s="528"/>
    </row>
    <row r="5" spans="1:129" s="194" customFormat="1" ht="39" customHeight="1" x14ac:dyDescent="0.25">
      <c r="A5" s="528"/>
      <c r="B5" s="528" t="s">
        <v>149</v>
      </c>
      <c r="C5" s="528"/>
      <c r="D5" s="528"/>
      <c r="E5" s="528"/>
      <c r="F5" s="528"/>
      <c r="G5" s="528" t="s">
        <v>150</v>
      </c>
      <c r="H5" s="528"/>
      <c r="I5" s="528"/>
      <c r="J5" s="528"/>
      <c r="K5" s="528"/>
      <c r="L5" s="528" t="s">
        <v>149</v>
      </c>
      <c r="M5" s="528"/>
      <c r="N5" s="528"/>
      <c r="O5" s="528"/>
      <c r="P5" s="528" t="s">
        <v>150</v>
      </c>
      <c r="Q5" s="528"/>
      <c r="R5" s="528"/>
      <c r="S5" s="528"/>
      <c r="T5" s="528" t="s">
        <v>149</v>
      </c>
      <c r="U5" s="528"/>
      <c r="V5" s="528"/>
      <c r="W5" s="528"/>
      <c r="X5" s="528"/>
      <c r="Y5" s="528" t="s">
        <v>150</v>
      </c>
      <c r="Z5" s="528"/>
      <c r="AA5" s="528"/>
      <c r="AB5" s="528"/>
      <c r="AC5" s="528"/>
      <c r="AD5" s="528" t="s">
        <v>149</v>
      </c>
      <c r="AE5" s="528" t="s">
        <v>150</v>
      </c>
      <c r="AF5" s="528" t="s">
        <v>151</v>
      </c>
      <c r="AG5" s="529" t="s">
        <v>149</v>
      </c>
      <c r="AH5" s="529" t="s">
        <v>61</v>
      </c>
      <c r="AI5" s="529" t="s">
        <v>150</v>
      </c>
      <c r="AJ5" s="529" t="s">
        <v>61</v>
      </c>
      <c r="AK5" s="528" t="s">
        <v>149</v>
      </c>
      <c r="AL5" s="528" t="s">
        <v>150</v>
      </c>
      <c r="AM5" s="528" t="s">
        <v>151</v>
      </c>
      <c r="AN5" s="528" t="s">
        <v>149</v>
      </c>
      <c r="AO5" s="528"/>
      <c r="AP5" s="528"/>
      <c r="AQ5" s="528"/>
      <c r="AR5" s="528"/>
      <c r="AS5" s="528"/>
      <c r="AT5" s="528" t="s">
        <v>150</v>
      </c>
      <c r="AU5" s="528"/>
      <c r="AV5" s="528"/>
      <c r="AW5" s="528"/>
      <c r="AX5" s="528"/>
      <c r="AY5" s="528"/>
      <c r="AZ5" s="528" t="s">
        <v>149</v>
      </c>
      <c r="BA5" s="528" t="s">
        <v>150</v>
      </c>
      <c r="BB5" s="528" t="s">
        <v>151</v>
      </c>
      <c r="BC5" s="528" t="s">
        <v>149</v>
      </c>
      <c r="BD5" s="528"/>
      <c r="BE5" s="528"/>
      <c r="BF5" s="528"/>
      <c r="BG5" s="528"/>
      <c r="BH5" s="528" t="s">
        <v>150</v>
      </c>
      <c r="BI5" s="528"/>
      <c r="BJ5" s="528"/>
      <c r="BK5" s="528"/>
      <c r="BL5" s="528"/>
      <c r="BM5" s="528" t="s">
        <v>149</v>
      </c>
      <c r="BN5" s="528"/>
      <c r="BO5" s="528" t="s">
        <v>150</v>
      </c>
      <c r="BP5" s="528"/>
      <c r="BQ5" s="528" t="s">
        <v>151</v>
      </c>
      <c r="BR5" s="528" t="s">
        <v>149</v>
      </c>
      <c r="BS5" s="528"/>
      <c r="BT5" s="528" t="s">
        <v>150</v>
      </c>
      <c r="BU5" s="528"/>
      <c r="BV5" s="528" t="s">
        <v>151</v>
      </c>
      <c r="BW5" s="528" t="s">
        <v>438</v>
      </c>
      <c r="BX5" s="528"/>
      <c r="BY5" s="528" t="s">
        <v>439</v>
      </c>
      <c r="BZ5" s="528"/>
      <c r="CA5" s="528" t="s">
        <v>437</v>
      </c>
      <c r="CB5" s="528"/>
      <c r="CC5" s="528" t="s">
        <v>151</v>
      </c>
      <c r="CD5" s="528" t="s">
        <v>440</v>
      </c>
      <c r="CE5" s="528" t="s">
        <v>444</v>
      </c>
      <c r="CF5" s="528" t="s">
        <v>149</v>
      </c>
      <c r="CG5" s="528"/>
      <c r="CH5" s="528" t="s">
        <v>150</v>
      </c>
      <c r="CI5" s="528"/>
      <c r="CJ5" s="528" t="s">
        <v>151</v>
      </c>
      <c r="CK5" s="528"/>
      <c r="CL5" s="528" t="s">
        <v>152</v>
      </c>
      <c r="CM5" s="528"/>
      <c r="CN5" s="528"/>
      <c r="CO5" s="528" t="s">
        <v>152</v>
      </c>
      <c r="CP5" s="528"/>
      <c r="CQ5" s="528"/>
      <c r="CR5" s="528" t="s">
        <v>154</v>
      </c>
      <c r="CS5" s="528"/>
      <c r="CT5" s="528"/>
      <c r="CU5" s="528"/>
      <c r="CV5" s="528"/>
      <c r="CW5" s="528"/>
      <c r="CX5" s="528" t="s">
        <v>149</v>
      </c>
      <c r="CY5" s="528"/>
      <c r="CZ5" s="528"/>
      <c r="DA5" s="528"/>
      <c r="DB5" s="528"/>
      <c r="DC5" s="528" t="s">
        <v>150</v>
      </c>
      <c r="DD5" s="528"/>
      <c r="DE5" s="528"/>
      <c r="DF5" s="528"/>
      <c r="DG5" s="528"/>
      <c r="DH5" s="528"/>
      <c r="DI5" s="528"/>
      <c r="DJ5" s="528"/>
      <c r="DK5" s="528" t="s">
        <v>149</v>
      </c>
      <c r="DL5" s="528"/>
      <c r="DM5" s="528" t="s">
        <v>150</v>
      </c>
      <c r="DN5" s="528"/>
      <c r="DO5" s="528" t="s">
        <v>435</v>
      </c>
      <c r="DP5" s="528"/>
      <c r="DQ5" s="528" t="s">
        <v>443</v>
      </c>
      <c r="DR5" s="528"/>
      <c r="DS5" s="528" t="s">
        <v>436</v>
      </c>
      <c r="DT5" s="528" t="s">
        <v>359</v>
      </c>
      <c r="DU5" s="528"/>
      <c r="DV5" s="528" t="s">
        <v>383</v>
      </c>
      <c r="DW5" s="528"/>
      <c r="DX5" s="528" t="s">
        <v>445</v>
      </c>
      <c r="DY5" s="528"/>
    </row>
    <row r="6" spans="1:129" s="194" customFormat="1" ht="52.8" x14ac:dyDescent="0.25">
      <c r="A6" s="528"/>
      <c r="B6" s="195" t="s">
        <v>155</v>
      </c>
      <c r="C6" s="195" t="s">
        <v>156</v>
      </c>
      <c r="D6" s="195" t="s">
        <v>157</v>
      </c>
      <c r="E6" s="195" t="s">
        <v>158</v>
      </c>
      <c r="F6" s="194" t="s">
        <v>159</v>
      </c>
      <c r="G6" s="195" t="s">
        <v>155</v>
      </c>
      <c r="H6" s="195" t="s">
        <v>156</v>
      </c>
      <c r="I6" s="195" t="s">
        <v>157</v>
      </c>
      <c r="J6" s="195" t="s">
        <v>158</v>
      </c>
      <c r="K6" s="194" t="s">
        <v>159</v>
      </c>
      <c r="L6" s="195" t="s">
        <v>156</v>
      </c>
      <c r="M6" s="195" t="s">
        <v>157</v>
      </c>
      <c r="N6" s="195" t="s">
        <v>158</v>
      </c>
      <c r="O6" s="194" t="s">
        <v>159</v>
      </c>
      <c r="P6" s="195" t="s">
        <v>156</v>
      </c>
      <c r="Q6" s="195" t="s">
        <v>157</v>
      </c>
      <c r="R6" s="195" t="s">
        <v>158</v>
      </c>
      <c r="S6" s="194" t="s">
        <v>159</v>
      </c>
      <c r="T6" s="195" t="s">
        <v>155</v>
      </c>
      <c r="U6" s="195" t="s">
        <v>156</v>
      </c>
      <c r="V6" s="195" t="s">
        <v>157</v>
      </c>
      <c r="W6" s="195" t="s">
        <v>158</v>
      </c>
      <c r="X6" s="194" t="s">
        <v>159</v>
      </c>
      <c r="Y6" s="195" t="s">
        <v>155</v>
      </c>
      <c r="Z6" s="195" t="s">
        <v>156</v>
      </c>
      <c r="AA6" s="195" t="s">
        <v>157</v>
      </c>
      <c r="AB6" s="195" t="s">
        <v>158</v>
      </c>
      <c r="AC6" s="194" t="s">
        <v>159</v>
      </c>
      <c r="AD6" s="528"/>
      <c r="AE6" s="528"/>
      <c r="AF6" s="528"/>
      <c r="AG6" s="529"/>
      <c r="AH6" s="529"/>
      <c r="AI6" s="529"/>
      <c r="AJ6" s="529"/>
      <c r="AK6" s="528"/>
      <c r="AL6" s="528"/>
      <c r="AM6" s="528"/>
      <c r="AN6" s="195" t="s">
        <v>155</v>
      </c>
      <c r="AO6" s="195" t="s">
        <v>156</v>
      </c>
      <c r="AP6" s="195" t="s">
        <v>157</v>
      </c>
      <c r="AQ6" s="195" t="s">
        <v>158</v>
      </c>
      <c r="AR6" s="196" t="s">
        <v>160</v>
      </c>
      <c r="AS6" s="194" t="s">
        <v>159</v>
      </c>
      <c r="AT6" s="195" t="s">
        <v>155</v>
      </c>
      <c r="AU6" s="195" t="s">
        <v>156</v>
      </c>
      <c r="AV6" s="195" t="s">
        <v>157</v>
      </c>
      <c r="AW6" s="195" t="s">
        <v>158</v>
      </c>
      <c r="AX6" s="196" t="s">
        <v>160</v>
      </c>
      <c r="AY6" s="194" t="s">
        <v>159</v>
      </c>
      <c r="AZ6" s="528"/>
      <c r="BA6" s="528"/>
      <c r="BB6" s="528"/>
      <c r="BC6" s="195" t="s">
        <v>155</v>
      </c>
      <c r="BD6" s="195" t="s">
        <v>156</v>
      </c>
      <c r="BE6" s="195" t="s">
        <v>157</v>
      </c>
      <c r="BF6" s="195" t="s">
        <v>158</v>
      </c>
      <c r="BG6" s="194" t="s">
        <v>159</v>
      </c>
      <c r="BH6" s="195" t="s">
        <v>155</v>
      </c>
      <c r="BI6" s="195" t="s">
        <v>156</v>
      </c>
      <c r="BJ6" s="195" t="s">
        <v>157</v>
      </c>
      <c r="BK6" s="195" t="s">
        <v>158</v>
      </c>
      <c r="BL6" s="194" t="s">
        <v>159</v>
      </c>
      <c r="BM6" s="195" t="s">
        <v>161</v>
      </c>
      <c r="BN6" s="194" t="s">
        <v>159</v>
      </c>
      <c r="BO6" s="195" t="s">
        <v>161</v>
      </c>
      <c r="BP6" s="194" t="s">
        <v>159</v>
      </c>
      <c r="BQ6" s="528"/>
      <c r="BR6" s="195" t="s">
        <v>161</v>
      </c>
      <c r="BS6" s="194" t="s">
        <v>159</v>
      </c>
      <c r="BT6" s="364" t="s">
        <v>161</v>
      </c>
      <c r="BU6" s="194" t="s">
        <v>159</v>
      </c>
      <c r="BV6" s="528"/>
      <c r="BW6" s="195" t="s">
        <v>161</v>
      </c>
      <c r="BX6" s="194" t="s">
        <v>159</v>
      </c>
      <c r="BY6" s="364" t="s">
        <v>161</v>
      </c>
      <c r="BZ6" s="363" t="s">
        <v>159</v>
      </c>
      <c r="CA6" s="195" t="s">
        <v>161</v>
      </c>
      <c r="CB6" s="194" t="s">
        <v>159</v>
      </c>
      <c r="CC6" s="528"/>
      <c r="CD6" s="528"/>
      <c r="CE6" s="528"/>
      <c r="CF6" s="195" t="s">
        <v>161</v>
      </c>
      <c r="CG6" s="194" t="s">
        <v>159</v>
      </c>
      <c r="CH6" s="195" t="s">
        <v>161</v>
      </c>
      <c r="CI6" s="194" t="s">
        <v>159</v>
      </c>
      <c r="CJ6" s="528"/>
      <c r="CK6" s="528"/>
      <c r="CL6" s="528"/>
      <c r="CM6" s="528"/>
      <c r="CN6" s="528"/>
      <c r="CO6" s="528"/>
      <c r="CP6" s="528"/>
      <c r="CQ6" s="528"/>
      <c r="CR6" s="528"/>
      <c r="CS6" s="194" t="s">
        <v>149</v>
      </c>
      <c r="CT6" s="194" t="s">
        <v>150</v>
      </c>
      <c r="CU6" s="528"/>
      <c r="CV6" s="528"/>
      <c r="CW6" s="528"/>
      <c r="CX6" s="195" t="s">
        <v>155</v>
      </c>
      <c r="CY6" s="195" t="s">
        <v>156</v>
      </c>
      <c r="CZ6" s="195" t="s">
        <v>157</v>
      </c>
      <c r="DA6" s="195" t="s">
        <v>158</v>
      </c>
      <c r="DB6" s="194" t="s">
        <v>159</v>
      </c>
      <c r="DC6" s="195" t="s">
        <v>155</v>
      </c>
      <c r="DD6" s="195" t="s">
        <v>156</v>
      </c>
      <c r="DE6" s="195" t="s">
        <v>157</v>
      </c>
      <c r="DF6" s="195" t="s">
        <v>158</v>
      </c>
      <c r="DG6" s="194" t="s">
        <v>159</v>
      </c>
      <c r="DH6" s="194" t="s">
        <v>149</v>
      </c>
      <c r="DI6" s="194" t="s">
        <v>150</v>
      </c>
      <c r="DJ6" s="194" t="s">
        <v>151</v>
      </c>
      <c r="DK6" s="195" t="s">
        <v>162</v>
      </c>
      <c r="DL6" s="194" t="s">
        <v>159</v>
      </c>
      <c r="DM6" s="195" t="s">
        <v>162</v>
      </c>
      <c r="DN6" s="194" t="s">
        <v>159</v>
      </c>
      <c r="DO6" s="364" t="s">
        <v>162</v>
      </c>
      <c r="DP6" s="363" t="s">
        <v>159</v>
      </c>
      <c r="DQ6" s="364" t="s">
        <v>162</v>
      </c>
      <c r="DR6" s="363" t="s">
        <v>159</v>
      </c>
      <c r="DS6" s="528"/>
      <c r="DT6" s="318" t="s">
        <v>360</v>
      </c>
      <c r="DU6" s="318" t="s">
        <v>361</v>
      </c>
      <c r="DV6" s="318" t="s">
        <v>360</v>
      </c>
      <c r="DW6" s="318" t="s">
        <v>361</v>
      </c>
      <c r="DX6" s="372" t="s">
        <v>360</v>
      </c>
      <c r="DY6" s="372" t="s">
        <v>361</v>
      </c>
    </row>
    <row r="7" spans="1:129" s="207" customFormat="1" x14ac:dyDescent="0.25">
      <c r="A7" s="205" t="s">
        <v>163</v>
      </c>
      <c r="B7" s="206">
        <v>0</v>
      </c>
      <c r="C7" s="206">
        <v>1196695652.6900001</v>
      </c>
      <c r="D7" s="206">
        <v>139803930.47</v>
      </c>
      <c r="E7" s="206">
        <v>81772777.930000007</v>
      </c>
      <c r="F7" s="207">
        <f>(B7+C7+D7+E7)/1000</f>
        <v>1418272.3610900003</v>
      </c>
      <c r="G7" s="206">
        <v>0</v>
      </c>
      <c r="H7" s="206">
        <v>887531486.07000005</v>
      </c>
      <c r="I7" s="206">
        <v>92866694.650000006</v>
      </c>
      <c r="J7" s="206">
        <v>51273890</v>
      </c>
      <c r="K7" s="207">
        <f t="shared" ref="K7:K32" si="0">(G7+H7+I7+J7)/1000</f>
        <v>1031672.0707200001</v>
      </c>
      <c r="L7" s="206">
        <v>89681426.170000002</v>
      </c>
      <c r="M7" s="206">
        <v>906200</v>
      </c>
      <c r="N7" s="206">
        <v>2672800</v>
      </c>
      <c r="O7" s="207">
        <f>(L7+M7+N7)/1000</f>
        <v>93260.426170000006</v>
      </c>
      <c r="P7" s="206">
        <v>54703918.969999999</v>
      </c>
      <c r="Q7" s="206">
        <v>691866.64</v>
      </c>
      <c r="R7" s="206">
        <v>1445400</v>
      </c>
      <c r="S7" s="207">
        <f>(P7+Q7+R7)/1000</f>
        <v>56841.18561</v>
      </c>
      <c r="T7" s="206">
        <v>0</v>
      </c>
      <c r="U7" s="206">
        <v>1228086047.1800001</v>
      </c>
      <c r="V7" s="206">
        <v>148474284.78999999</v>
      </c>
      <c r="W7" s="206">
        <v>85645141.75</v>
      </c>
      <c r="X7" s="207">
        <f t="shared" ref="X7:X32" si="1">(T7+U7+V7+W7)/1000</f>
        <v>1462205.4737200001</v>
      </c>
      <c r="Y7" s="206">
        <v>0</v>
      </c>
      <c r="Z7" s="206">
        <v>917567820.19000006</v>
      </c>
      <c r="AA7" s="206">
        <v>81994258.010000005</v>
      </c>
      <c r="AB7" s="206">
        <v>48082337</v>
      </c>
      <c r="AC7" s="207">
        <f>(Y7+Z7+AA7+AB7)/1000</f>
        <v>1047644.4152</v>
      </c>
      <c r="AD7" s="207">
        <f t="shared" ref="AD7:AD32" si="2">F7-O7</f>
        <v>1325011.9349200001</v>
      </c>
      <c r="AE7" s="207">
        <f t="shared" ref="AE7:AE32" si="3">K7-S7</f>
        <v>974830.88511000003</v>
      </c>
      <c r="AF7" s="207">
        <f>AE7/AD7%</f>
        <v>73.571479578322212</v>
      </c>
      <c r="AG7" s="208">
        <v>1325012</v>
      </c>
      <c r="AH7" s="208">
        <f>AG7-AD7</f>
        <v>6.5079999854788184E-2</v>
      </c>
      <c r="AI7" s="208">
        <v>976418</v>
      </c>
      <c r="AJ7" s="208">
        <f>AI7-AE7</f>
        <v>1587.114889999968</v>
      </c>
      <c r="AK7" s="207">
        <f t="shared" ref="AK7:AK32" si="4">X7-O7</f>
        <v>1368945.04755</v>
      </c>
      <c r="AL7" s="207">
        <f t="shared" ref="AL7:AL32" si="5">AC7-S7</f>
        <v>990803.22959</v>
      </c>
      <c r="AM7" s="207">
        <f>AL7/AK7%</f>
        <v>72.377136785968133</v>
      </c>
      <c r="AN7" s="206">
        <v>0</v>
      </c>
      <c r="AO7" s="206">
        <v>867179942.88999999</v>
      </c>
      <c r="AP7" s="206">
        <v>32926936.469999999</v>
      </c>
      <c r="AQ7" s="206">
        <v>56754489.700000003</v>
      </c>
      <c r="AR7" s="209">
        <f t="shared" ref="AR7:AR32" si="6">L7-((AP7+AQ7))</f>
        <v>0</v>
      </c>
      <c r="AS7" s="207">
        <f>(AN7+AO7+AP7+AQ7)/1000</f>
        <v>956861.36906000006</v>
      </c>
      <c r="AT7" s="206">
        <v>0</v>
      </c>
      <c r="AU7" s="206">
        <v>641605710.51999998</v>
      </c>
      <c r="AV7" s="206">
        <v>15941561.359999999</v>
      </c>
      <c r="AW7" s="206">
        <v>37175657.609999999</v>
      </c>
      <c r="AX7" s="209">
        <f t="shared" ref="AX7:AX32" si="7">P7-((AV7+AW7))</f>
        <v>1586700</v>
      </c>
      <c r="AY7" s="207">
        <f>(AT7+AU7+AV7+AW7)/1000</f>
        <v>694722.92949000001</v>
      </c>
      <c r="AZ7" s="207">
        <f t="shared" ref="AZ7:AZ32" si="8">AS7-O7</f>
        <v>863600.94289000006</v>
      </c>
      <c r="BA7" s="207">
        <f t="shared" ref="BA7:BA32" si="9">AY7-S7</f>
        <v>637881.74387999997</v>
      </c>
      <c r="BB7" s="207">
        <f>BA7/AZ7%</f>
        <v>73.863020777323214</v>
      </c>
      <c r="BC7" s="206">
        <v>0</v>
      </c>
      <c r="BD7" s="206">
        <v>330822540.56</v>
      </c>
      <c r="BE7" s="206">
        <v>103701980</v>
      </c>
      <c r="BF7" s="206">
        <v>25011927.739999998</v>
      </c>
      <c r="BG7" s="207">
        <f>(BC7+BD7+BE7+BF7)/1000</f>
        <v>459536.44829999999</v>
      </c>
      <c r="BH7" s="206">
        <v>0</v>
      </c>
      <c r="BI7" s="206">
        <v>247232606.31</v>
      </c>
      <c r="BJ7" s="206">
        <v>73096602.459999993</v>
      </c>
      <c r="BK7" s="206">
        <v>14069779.9</v>
      </c>
      <c r="BL7" s="207">
        <f>(BH7+BI7+BJ7+BK7)/1000</f>
        <v>334398.98866999993</v>
      </c>
      <c r="BM7" s="210">
        <v>48334664.399999999</v>
      </c>
      <c r="BN7" s="207">
        <f>(BM7)/1000</f>
        <v>48334.664400000001</v>
      </c>
      <c r="BO7" s="210">
        <v>32202839.129999999</v>
      </c>
      <c r="BP7" s="207">
        <f>(BO7)/1000</f>
        <v>32202.83913</v>
      </c>
      <c r="BQ7" s="207">
        <f t="shared" ref="BQ7:BQ32" si="10">BP7/BN7%</f>
        <v>66.624728918155057</v>
      </c>
      <c r="BR7" s="210">
        <v>26889133.289999999</v>
      </c>
      <c r="BS7" s="207">
        <f>(BR7)/1000</f>
        <v>26889.133289999998</v>
      </c>
      <c r="BT7" s="375">
        <v>26568569.82</v>
      </c>
      <c r="BU7" s="207">
        <f>(BT7)/1000</f>
        <v>26568.569820000001</v>
      </c>
      <c r="BV7" s="207">
        <f t="shared" ref="BV7:BV31" si="11">BU7/BS7%</f>
        <v>98.807832641748959</v>
      </c>
      <c r="BW7" s="210">
        <v>40765400</v>
      </c>
      <c r="BX7" s="207">
        <f>(BW7)/1000</f>
        <v>40765.4</v>
      </c>
      <c r="BY7" s="210">
        <v>14688731.42</v>
      </c>
      <c r="BZ7" s="207">
        <f>BY7/1000</f>
        <v>14688.73142</v>
      </c>
      <c r="CA7" s="210">
        <v>18223320.579999998</v>
      </c>
      <c r="CB7" s="207">
        <f>(CA7)/1000</f>
        <v>18223.32058</v>
      </c>
      <c r="CC7" s="207">
        <f t="shared" ref="CC7:CC31" si="12">CB7/BX7%</f>
        <v>44.702911243358336</v>
      </c>
      <c r="CD7" s="207">
        <f>CB7-BZ7</f>
        <v>3534.5891599999995</v>
      </c>
      <c r="CE7" s="207">
        <f>CB7/BZ7%-100</f>
        <v>24.063270400514966</v>
      </c>
      <c r="CF7" s="210">
        <v>40375480</v>
      </c>
      <c r="CG7" s="207">
        <f>(CF7)/1000</f>
        <v>40375.480000000003</v>
      </c>
      <c r="CH7" s="210">
        <v>28909034.140000001</v>
      </c>
      <c r="CI7" s="207">
        <f>(CH7)/1000</f>
        <v>28909.03414</v>
      </c>
      <c r="CJ7" s="207">
        <f t="shared" ref="CJ7:CJ31" si="13">CI7/CG7%</f>
        <v>71.600471721946079</v>
      </c>
      <c r="CK7" s="207">
        <v>12013.984859999999</v>
      </c>
      <c r="CL7" s="207">
        <v>400.91696000000002</v>
      </c>
      <c r="CM7" s="210">
        <v>38571733.030000001</v>
      </c>
      <c r="CN7" s="207">
        <f>CM7/1000</f>
        <v>38571.733030000003</v>
      </c>
      <c r="CO7" s="210">
        <v>3904205.47</v>
      </c>
      <c r="CP7" s="207">
        <f>CO7/1000</f>
        <v>3904.2054700000003</v>
      </c>
      <c r="CQ7" s="207">
        <f t="shared" ref="CQ7:CQ32" si="14">CN7-CK7</f>
        <v>26557.748170000006</v>
      </c>
      <c r="CR7" s="207">
        <f t="shared" ref="CR7:CR32" si="15">CP7-CL7</f>
        <v>3503.2885100000003</v>
      </c>
      <c r="CS7" s="207">
        <f t="shared" ref="CS7:CS32" si="16">AD7-AK7</f>
        <v>-43933.112629999872</v>
      </c>
      <c r="CT7" s="207">
        <f t="shared" ref="CT7:CT32" si="17">AE7-AL7</f>
        <v>-15972.344479999971</v>
      </c>
      <c r="CU7" s="207">
        <v>57000</v>
      </c>
      <c r="CV7" s="207">
        <v>65000</v>
      </c>
      <c r="CW7" s="207">
        <f>CV7-CU7</f>
        <v>8000</v>
      </c>
      <c r="CX7" s="206">
        <v>0</v>
      </c>
      <c r="CY7" s="206">
        <v>865873112.13</v>
      </c>
      <c r="CZ7" s="206">
        <v>36101950.469999999</v>
      </c>
      <c r="DA7" s="206">
        <v>56760850.189999998</v>
      </c>
      <c r="DB7" s="207">
        <f>(CX7+CY7+CZ7+DA7)/1000</f>
        <v>958735.91278999997</v>
      </c>
      <c r="DC7" s="206">
        <v>0</v>
      </c>
      <c r="DD7" s="206">
        <v>640298879.75999999</v>
      </c>
      <c r="DE7" s="206">
        <v>19770092.190000001</v>
      </c>
      <c r="DF7" s="206">
        <v>37204110.100000001</v>
      </c>
      <c r="DG7" s="207">
        <f>(DC7+DD7+DE7+DF7)/1000</f>
        <v>697273.08205000008</v>
      </c>
      <c r="DH7" s="211">
        <f t="shared" ref="DH7:DH32" si="18">DB7-O7</f>
        <v>865475.48661999998</v>
      </c>
      <c r="DI7" s="211">
        <f t="shared" ref="DI7:DI32" si="19">DG7-S7</f>
        <v>640431.89644000004</v>
      </c>
      <c r="DJ7" s="207">
        <f>DI7/DH7%</f>
        <v>73.997693330532343</v>
      </c>
      <c r="DK7" s="206">
        <v>249362800</v>
      </c>
      <c r="DL7" s="207">
        <f>DK7/1000</f>
        <v>249362.8</v>
      </c>
      <c r="DM7" s="206">
        <v>182899679.71000001</v>
      </c>
      <c r="DN7" s="207">
        <f>DM7/1000</f>
        <v>182899.67971</v>
      </c>
      <c r="DO7" s="210">
        <v>45631.040000000001</v>
      </c>
      <c r="DP7" s="207">
        <f>DO7/1000</f>
        <v>45.631039999999999</v>
      </c>
      <c r="DQ7" s="210">
        <v>194962.99</v>
      </c>
      <c r="DR7" s="207">
        <f>DQ7/1000</f>
        <v>194.96298999999999</v>
      </c>
      <c r="DS7" s="207">
        <f>DR7-DP7</f>
        <v>149.33195000000001</v>
      </c>
      <c r="DT7" s="207">
        <v>47752.427889999999</v>
      </c>
      <c r="DU7" s="207">
        <v>33568.917829999999</v>
      </c>
      <c r="DV7" s="207">
        <v>93937.021899999992</v>
      </c>
      <c r="DW7" s="207">
        <v>44539.462599999999</v>
      </c>
      <c r="DX7" s="207">
        <f>DV7-DT7</f>
        <v>46184.594009999993</v>
      </c>
      <c r="DY7" s="207">
        <f>DW7-DU7</f>
        <v>10970.54477</v>
      </c>
    </row>
    <row r="8" spans="1:129" s="207" customFormat="1" x14ac:dyDescent="0.25">
      <c r="A8" s="205" t="s">
        <v>164</v>
      </c>
      <c r="B8" s="206">
        <v>0</v>
      </c>
      <c r="C8" s="206">
        <v>599562682.5</v>
      </c>
      <c r="D8" s="206">
        <v>0</v>
      </c>
      <c r="E8" s="206">
        <v>58933704.770000003</v>
      </c>
      <c r="F8" s="207">
        <f t="shared" ref="F8:F32" si="20">(B8+C8+D8+E8)/1000</f>
        <v>658496.38726999995</v>
      </c>
      <c r="G8" s="206">
        <v>0</v>
      </c>
      <c r="H8" s="206">
        <v>441148198.30000001</v>
      </c>
      <c r="I8" s="206">
        <v>0</v>
      </c>
      <c r="J8" s="206">
        <v>42082198.600000001</v>
      </c>
      <c r="K8" s="207">
        <f t="shared" si="0"/>
        <v>483230.39690000005</v>
      </c>
      <c r="L8" s="206">
        <v>42660739</v>
      </c>
      <c r="M8" s="206">
        <v>0</v>
      </c>
      <c r="N8" s="206">
        <v>431900</v>
      </c>
      <c r="O8" s="207">
        <f t="shared" ref="O8:O32" si="21">(L8+M8+N8)/1000</f>
        <v>43092.639000000003</v>
      </c>
      <c r="P8" s="206">
        <v>33682332.379999995</v>
      </c>
      <c r="Q8" s="206">
        <v>0</v>
      </c>
      <c r="R8" s="206">
        <v>324000</v>
      </c>
      <c r="S8" s="207">
        <f t="shared" ref="S8:S32" si="22">(P8+Q8+R8)/1000</f>
        <v>34006.332379999993</v>
      </c>
      <c r="T8" s="206">
        <v>0</v>
      </c>
      <c r="U8" s="206">
        <v>615486030.25</v>
      </c>
      <c r="V8" s="206">
        <v>0</v>
      </c>
      <c r="W8" s="206">
        <v>60408312.960000001</v>
      </c>
      <c r="X8" s="207">
        <f t="shared" si="1"/>
        <v>675894.34321000008</v>
      </c>
      <c r="Y8" s="206">
        <v>0</v>
      </c>
      <c r="Z8" s="206">
        <v>426175202.62</v>
      </c>
      <c r="AA8" s="206">
        <v>0</v>
      </c>
      <c r="AB8" s="206">
        <v>36276392.299999997</v>
      </c>
      <c r="AC8" s="207">
        <f t="shared" ref="AC8:AC32" si="23">(Y8+Z8+AA8+AB8)/1000</f>
        <v>462451.59492</v>
      </c>
      <c r="AD8" s="207">
        <f t="shared" si="2"/>
        <v>615403.74826999998</v>
      </c>
      <c r="AE8" s="207">
        <f t="shared" si="3"/>
        <v>449224.06452000007</v>
      </c>
      <c r="AF8" s="207">
        <f t="shared" ref="AF8:AF34" si="24">AE8/AD8%</f>
        <v>72.996640950407269</v>
      </c>
      <c r="AG8" s="208">
        <v>615404</v>
      </c>
      <c r="AH8" s="208">
        <f t="shared" ref="AH8:AH32" si="25">AG8-AD8</f>
        <v>0.25173000001814216</v>
      </c>
      <c r="AI8" s="208">
        <v>449224</v>
      </c>
      <c r="AJ8" s="208">
        <f t="shared" ref="AJ8:AJ32" si="26">AI8-AE8</f>
        <v>-6.4520000072661787E-2</v>
      </c>
      <c r="AK8" s="207">
        <f t="shared" si="4"/>
        <v>632801.70421000011</v>
      </c>
      <c r="AL8" s="207">
        <f t="shared" si="5"/>
        <v>428445.26254000003</v>
      </c>
      <c r="AM8" s="207">
        <f t="shared" ref="AM8:AM34" si="27">AL8/AK8%</f>
        <v>67.706085443445204</v>
      </c>
      <c r="AN8" s="206">
        <v>0</v>
      </c>
      <c r="AO8" s="206">
        <v>515514518.64999998</v>
      </c>
      <c r="AP8" s="206">
        <v>0</v>
      </c>
      <c r="AQ8" s="206">
        <v>42660739</v>
      </c>
      <c r="AR8" s="209">
        <f t="shared" si="6"/>
        <v>0</v>
      </c>
      <c r="AS8" s="207">
        <f t="shared" ref="AS8:AS32" si="28">(AN8+AO8+AP8+AQ8)/1000</f>
        <v>558175.25764999993</v>
      </c>
      <c r="AT8" s="206">
        <v>0</v>
      </c>
      <c r="AU8" s="206">
        <v>384281507.37</v>
      </c>
      <c r="AV8" s="206">
        <v>0</v>
      </c>
      <c r="AW8" s="206">
        <v>33682332.380000003</v>
      </c>
      <c r="AX8" s="209">
        <f t="shared" si="7"/>
        <v>0</v>
      </c>
      <c r="AY8" s="207">
        <f t="shared" ref="AY8:AY32" si="29">(AT8+AU8+AV8+AW8)/1000</f>
        <v>417963.83974999998</v>
      </c>
      <c r="AZ8" s="207">
        <f t="shared" si="8"/>
        <v>515082.6186499999</v>
      </c>
      <c r="BA8" s="207">
        <f t="shared" si="9"/>
        <v>383957.50737000001</v>
      </c>
      <c r="BB8" s="207">
        <f t="shared" ref="BB8:BB34" si="30">BA8/AZ8%</f>
        <v>74.542897288269842</v>
      </c>
      <c r="BC8" s="206">
        <v>0</v>
      </c>
      <c r="BD8" s="206">
        <v>82349500</v>
      </c>
      <c r="BE8" s="206">
        <v>0</v>
      </c>
      <c r="BF8" s="206">
        <v>14870178.449999999</v>
      </c>
      <c r="BG8" s="207">
        <f t="shared" ref="BG8:BG32" si="31">(BC8+BD8+BE8+BF8)/1000</f>
        <v>97219.678450000007</v>
      </c>
      <c r="BH8" s="206">
        <v>0</v>
      </c>
      <c r="BI8" s="206">
        <v>55168027.079999998</v>
      </c>
      <c r="BJ8" s="206">
        <v>0</v>
      </c>
      <c r="BK8" s="206">
        <v>6997078.9000000004</v>
      </c>
      <c r="BL8" s="207">
        <f t="shared" ref="BL8:BL32" si="32">(BH8+BI8+BJ8+BK8)/1000</f>
        <v>62165.10598</v>
      </c>
      <c r="BM8" s="210">
        <v>4601600</v>
      </c>
      <c r="BN8" s="207">
        <f t="shared" ref="BN8:BN32" si="33">(BM8)/1000</f>
        <v>4601.6000000000004</v>
      </c>
      <c r="BO8" s="210">
        <v>4038067.62</v>
      </c>
      <c r="BP8" s="207">
        <f t="shared" ref="BP8:BP32" si="34">(BO8)/1000</f>
        <v>4038.0676200000003</v>
      </c>
      <c r="BQ8" s="207">
        <f t="shared" si="10"/>
        <v>87.753555719749642</v>
      </c>
      <c r="BR8" s="210">
        <v>920000</v>
      </c>
      <c r="BS8" s="207">
        <f t="shared" ref="BS8:BS32" si="35">(BR8)/1000</f>
        <v>920</v>
      </c>
      <c r="BT8" s="375">
        <v>247387.57</v>
      </c>
      <c r="BU8" s="207">
        <f t="shared" ref="BU8:BU32" si="36">(BT8)/1000</f>
        <v>247.38757000000001</v>
      </c>
      <c r="BV8" s="207">
        <f t="shared" si="11"/>
        <v>26.889953260869568</v>
      </c>
      <c r="BW8" s="210">
        <v>10105100</v>
      </c>
      <c r="BX8" s="207">
        <f t="shared" ref="BX8:BX32" si="37">(BW8)/1000</f>
        <v>10105.1</v>
      </c>
      <c r="BY8" s="210">
        <v>4648234.8899999997</v>
      </c>
      <c r="BZ8" s="207">
        <f t="shared" ref="BZ8:BZ32" si="38">BY8/1000</f>
        <v>4648.2348899999997</v>
      </c>
      <c r="CA8" s="210">
        <v>3920100.58</v>
      </c>
      <c r="CB8" s="207">
        <f t="shared" ref="CB8:CB32" si="39">(CA8)/1000</f>
        <v>3920.1005800000003</v>
      </c>
      <c r="CC8" s="207">
        <f t="shared" si="12"/>
        <v>38.793288339551317</v>
      </c>
      <c r="CD8" s="207">
        <f t="shared" ref="CD8:CD32" si="40">CB8-BZ8</f>
        <v>-728.13430999999946</v>
      </c>
      <c r="CE8" s="207">
        <f t="shared" ref="CE8:CE33" si="41">CB8/BZ8%-100</f>
        <v>-15.664748603098232</v>
      </c>
      <c r="CF8" s="210">
        <v>16470228.449999999</v>
      </c>
      <c r="CG8" s="207">
        <f t="shared" ref="CG8:CG32" si="42">(CF8)/1000</f>
        <v>16470.228449999999</v>
      </c>
      <c r="CH8" s="210">
        <v>10303177.380000001</v>
      </c>
      <c r="CI8" s="207">
        <f t="shared" ref="CI8:CI32" si="43">(CH8)/1000</f>
        <v>10303.177380000001</v>
      </c>
      <c r="CJ8" s="207">
        <f t="shared" si="13"/>
        <v>62.556372009521226</v>
      </c>
      <c r="CK8" s="207">
        <v>19409.076519999999</v>
      </c>
      <c r="CL8" s="207">
        <v>457.99196999999998</v>
      </c>
      <c r="CM8" s="210">
        <v>49777798.909999996</v>
      </c>
      <c r="CN8" s="207">
        <f t="shared" ref="CN8:CN32" si="44">CM8/1000</f>
        <v>49777.798909999998</v>
      </c>
      <c r="CO8" s="210">
        <v>3231584.03</v>
      </c>
      <c r="CP8" s="207">
        <f t="shared" ref="CP8:CP32" si="45">CO8/1000</f>
        <v>3231.58403</v>
      </c>
      <c r="CQ8" s="207">
        <f t="shared" si="14"/>
        <v>30368.722389999999</v>
      </c>
      <c r="CR8" s="207">
        <f t="shared" si="15"/>
        <v>2773.5920599999999</v>
      </c>
      <c r="CS8" s="207">
        <f t="shared" si="16"/>
        <v>-17397.955940000131</v>
      </c>
      <c r="CT8" s="207">
        <f t="shared" si="17"/>
        <v>20778.801980000047</v>
      </c>
      <c r="CW8" s="207">
        <f t="shared" ref="CW8:CW32" si="46">CV8-CU8</f>
        <v>0</v>
      </c>
      <c r="CX8" s="206">
        <v>0</v>
      </c>
      <c r="CY8" s="206">
        <v>517213182.5</v>
      </c>
      <c r="CZ8" s="206">
        <v>0</v>
      </c>
      <c r="DA8" s="206">
        <v>44063526.32</v>
      </c>
      <c r="DB8" s="207">
        <f t="shared" ref="DB8:DB32" si="47">(CX8+CY8+CZ8+DA8)/1000</f>
        <v>561276.70882000006</v>
      </c>
      <c r="DC8" s="206">
        <v>0</v>
      </c>
      <c r="DD8" s="206">
        <v>385980171.22000003</v>
      </c>
      <c r="DE8" s="206">
        <v>0</v>
      </c>
      <c r="DF8" s="206">
        <v>35085119.700000003</v>
      </c>
      <c r="DG8" s="207">
        <f t="shared" ref="DG8:DG32" si="48">(DC8+DD8+DE8+DF8)/1000</f>
        <v>421065.29092</v>
      </c>
      <c r="DH8" s="211">
        <f t="shared" si="18"/>
        <v>518184.06982000003</v>
      </c>
      <c r="DI8" s="211">
        <f t="shared" si="19"/>
        <v>387058.95854000002</v>
      </c>
      <c r="DJ8" s="207">
        <f t="shared" ref="DJ8:DJ34" si="49">DI8/DH8%</f>
        <v>74.695263919334963</v>
      </c>
      <c r="DK8" s="206">
        <v>42437700</v>
      </c>
      <c r="DL8" s="207">
        <f t="shared" ref="DL8:DR32" si="50">DK8/1000</f>
        <v>42437.7</v>
      </c>
      <c r="DM8" s="206">
        <v>26601996.82</v>
      </c>
      <c r="DN8" s="207">
        <f t="shared" si="50"/>
        <v>26601.99682</v>
      </c>
      <c r="DO8" s="210">
        <v>35121.96</v>
      </c>
      <c r="DP8" s="207">
        <f t="shared" si="50"/>
        <v>35.121960000000001</v>
      </c>
      <c r="DQ8" s="210">
        <v>49626</v>
      </c>
      <c r="DR8" s="207">
        <f t="shared" si="50"/>
        <v>49.625999999999998</v>
      </c>
      <c r="DS8" s="207">
        <f t="shared" ref="DS8:DS32" si="51">DR8-DP8</f>
        <v>14.504039999999996</v>
      </c>
      <c r="DT8" s="207">
        <v>6597.8042300000006</v>
      </c>
      <c r="DU8" s="207">
        <v>1980.85105</v>
      </c>
      <c r="DV8" s="207">
        <v>21579.960500000001</v>
      </c>
      <c r="DW8" s="207">
        <v>1917.6142</v>
      </c>
      <c r="DX8" s="207">
        <f t="shared" ref="DX8:DX32" si="52">DV8-DT8</f>
        <v>14982.156269999999</v>
      </c>
      <c r="DY8" s="207">
        <f t="shared" ref="DY8:DY32" si="53">DW8-DU8</f>
        <v>-63.236850000000004</v>
      </c>
    </row>
    <row r="9" spans="1:129" s="207" customFormat="1" x14ac:dyDescent="0.25">
      <c r="A9" s="205" t="s">
        <v>165</v>
      </c>
      <c r="B9" s="206">
        <v>0</v>
      </c>
      <c r="C9" s="206">
        <v>399006722.80000001</v>
      </c>
      <c r="D9" s="206">
        <v>0</v>
      </c>
      <c r="E9" s="206">
        <v>48218200</v>
      </c>
      <c r="F9" s="207">
        <f t="shared" si="20"/>
        <v>447224.9228</v>
      </c>
      <c r="G9" s="206">
        <v>0</v>
      </c>
      <c r="H9" s="206">
        <v>302629184.44999999</v>
      </c>
      <c r="I9" s="206">
        <v>0</v>
      </c>
      <c r="J9" s="206">
        <v>30539454.140000001</v>
      </c>
      <c r="K9" s="207">
        <f t="shared" si="0"/>
        <v>333168.63858999999</v>
      </c>
      <c r="L9" s="206">
        <v>37264500</v>
      </c>
      <c r="M9" s="206">
        <v>0</v>
      </c>
      <c r="N9" s="206">
        <v>8510000</v>
      </c>
      <c r="O9" s="207">
        <f t="shared" si="21"/>
        <v>45774.5</v>
      </c>
      <c r="P9" s="206">
        <v>23773946.09</v>
      </c>
      <c r="Q9" s="206">
        <v>0</v>
      </c>
      <c r="R9" s="206">
        <v>6390200</v>
      </c>
      <c r="S9" s="207">
        <f t="shared" si="22"/>
        <v>30164.146089999998</v>
      </c>
      <c r="T9" s="206">
        <v>0</v>
      </c>
      <c r="U9" s="206">
        <v>415289555.80000001</v>
      </c>
      <c r="V9" s="206">
        <v>0</v>
      </c>
      <c r="W9" s="206">
        <v>49672585</v>
      </c>
      <c r="X9" s="207">
        <f t="shared" si="1"/>
        <v>464962.14079999999</v>
      </c>
      <c r="Y9" s="206">
        <v>0</v>
      </c>
      <c r="Z9" s="206">
        <v>304115091.89999998</v>
      </c>
      <c r="AA9" s="206">
        <v>0</v>
      </c>
      <c r="AB9" s="206">
        <v>31001424.719999999</v>
      </c>
      <c r="AC9" s="207">
        <f t="shared" si="23"/>
        <v>335116.51662000001</v>
      </c>
      <c r="AD9" s="207">
        <f t="shared" si="2"/>
        <v>401450.4228</v>
      </c>
      <c r="AE9" s="207">
        <f t="shared" si="3"/>
        <v>303004.49249999999</v>
      </c>
      <c r="AF9" s="207">
        <f t="shared" si="24"/>
        <v>75.477437633925447</v>
      </c>
      <c r="AG9" s="208">
        <v>401450</v>
      </c>
      <c r="AH9" s="208">
        <f t="shared" si="25"/>
        <v>-0.4228000000002794</v>
      </c>
      <c r="AI9" s="208">
        <v>303004</v>
      </c>
      <c r="AJ9" s="208">
        <f t="shared" si="26"/>
        <v>-0.49249999999301508</v>
      </c>
      <c r="AK9" s="207">
        <f t="shared" si="4"/>
        <v>419187.64079999999</v>
      </c>
      <c r="AL9" s="207">
        <f t="shared" si="5"/>
        <v>304952.37053000001</v>
      </c>
      <c r="AM9" s="207">
        <f t="shared" si="27"/>
        <v>72.748416424685772</v>
      </c>
      <c r="AN9" s="206">
        <v>0</v>
      </c>
      <c r="AO9" s="206">
        <v>334457555.80000001</v>
      </c>
      <c r="AP9" s="206">
        <v>0</v>
      </c>
      <c r="AQ9" s="206">
        <v>37264500</v>
      </c>
      <c r="AR9" s="209">
        <f t="shared" si="6"/>
        <v>0</v>
      </c>
      <c r="AS9" s="207">
        <f t="shared" si="28"/>
        <v>371722.05580000003</v>
      </c>
      <c r="AT9" s="206">
        <v>0</v>
      </c>
      <c r="AU9" s="206">
        <v>252588981.96000001</v>
      </c>
      <c r="AV9" s="206">
        <v>0</v>
      </c>
      <c r="AW9" s="206">
        <v>23773946.09</v>
      </c>
      <c r="AX9" s="209">
        <f t="shared" si="7"/>
        <v>0</v>
      </c>
      <c r="AY9" s="207">
        <f t="shared" si="29"/>
        <v>276362.92804999999</v>
      </c>
      <c r="AZ9" s="207">
        <f t="shared" si="8"/>
        <v>325947.55580000003</v>
      </c>
      <c r="BA9" s="207">
        <f t="shared" si="9"/>
        <v>246198.78195999999</v>
      </c>
      <c r="BB9" s="207">
        <f t="shared" si="30"/>
        <v>75.533249929036586</v>
      </c>
      <c r="BC9" s="206">
        <v>0</v>
      </c>
      <c r="BD9" s="206">
        <v>64601200</v>
      </c>
      <c r="BE9" s="206">
        <v>0</v>
      </c>
      <c r="BF9" s="206">
        <v>10925700</v>
      </c>
      <c r="BG9" s="207">
        <f t="shared" si="31"/>
        <v>75526.899999999994</v>
      </c>
      <c r="BH9" s="206">
        <v>0</v>
      </c>
      <c r="BI9" s="206">
        <v>50092235.490000002</v>
      </c>
      <c r="BJ9" s="206">
        <v>0</v>
      </c>
      <c r="BK9" s="206">
        <v>6737508.0499999998</v>
      </c>
      <c r="BL9" s="207">
        <f t="shared" si="32"/>
        <v>56829.743539999996</v>
      </c>
      <c r="BM9" s="210">
        <v>7927800</v>
      </c>
      <c r="BN9" s="207">
        <f t="shared" si="33"/>
        <v>7927.8</v>
      </c>
      <c r="BO9" s="210">
        <v>6841599.9900000002</v>
      </c>
      <c r="BP9" s="207">
        <f t="shared" si="34"/>
        <v>6841.5999900000006</v>
      </c>
      <c r="BQ9" s="207">
        <f t="shared" si="10"/>
        <v>86.298846968894267</v>
      </c>
      <c r="BR9" s="210">
        <v>700000</v>
      </c>
      <c r="BS9" s="207">
        <f t="shared" si="35"/>
        <v>700</v>
      </c>
      <c r="BT9" s="375">
        <v>382685.81</v>
      </c>
      <c r="BU9" s="207">
        <f t="shared" si="36"/>
        <v>382.68581</v>
      </c>
      <c r="BV9" s="207">
        <f t="shared" si="11"/>
        <v>54.669401428571426</v>
      </c>
      <c r="BW9" s="210">
        <v>4823700</v>
      </c>
      <c r="BX9" s="207">
        <f t="shared" si="37"/>
        <v>4823.7</v>
      </c>
      <c r="BY9" s="210">
        <v>2047115.7</v>
      </c>
      <c r="BZ9" s="207">
        <f t="shared" si="38"/>
        <v>2047.1157000000001</v>
      </c>
      <c r="CA9" s="210">
        <v>2278234.79</v>
      </c>
      <c r="CB9" s="207">
        <f t="shared" si="39"/>
        <v>2278.23479</v>
      </c>
      <c r="CC9" s="207">
        <f t="shared" si="12"/>
        <v>47.230026535646914</v>
      </c>
      <c r="CD9" s="207">
        <f t="shared" si="40"/>
        <v>231.11908999999991</v>
      </c>
      <c r="CE9" s="207">
        <f t="shared" si="41"/>
        <v>11.289986687122749</v>
      </c>
      <c r="CF9" s="210">
        <v>9049400</v>
      </c>
      <c r="CG9" s="207">
        <f t="shared" si="42"/>
        <v>9049.4</v>
      </c>
      <c r="CH9" s="210">
        <v>6865771.9100000001</v>
      </c>
      <c r="CI9" s="207">
        <f t="shared" si="43"/>
        <v>6865.7719100000004</v>
      </c>
      <c r="CJ9" s="207">
        <f t="shared" si="13"/>
        <v>75.869913032908258</v>
      </c>
      <c r="CK9" s="207">
        <v>16566.491030000001</v>
      </c>
      <c r="CL9" s="207">
        <v>64.033000000000001</v>
      </c>
      <c r="CM9" s="210">
        <v>33493054.129999999</v>
      </c>
      <c r="CN9" s="207">
        <f t="shared" si="44"/>
        <v>33493.054129999997</v>
      </c>
      <c r="CO9" s="210">
        <v>15100</v>
      </c>
      <c r="CP9" s="207">
        <f t="shared" si="45"/>
        <v>15.1</v>
      </c>
      <c r="CQ9" s="207">
        <f t="shared" si="14"/>
        <v>16926.563099999996</v>
      </c>
      <c r="CR9" s="207">
        <f t="shared" si="15"/>
        <v>-48.933</v>
      </c>
      <c r="CS9" s="207">
        <f t="shared" si="16"/>
        <v>-17737.217999999993</v>
      </c>
      <c r="CT9" s="207">
        <f t="shared" si="17"/>
        <v>-1947.8780300000217</v>
      </c>
      <c r="CW9" s="207">
        <f t="shared" si="46"/>
        <v>0</v>
      </c>
      <c r="CX9" s="206">
        <v>0</v>
      </c>
      <c r="CY9" s="206">
        <v>334405522.80000001</v>
      </c>
      <c r="CZ9" s="206">
        <v>0</v>
      </c>
      <c r="DA9" s="206">
        <v>37292500</v>
      </c>
      <c r="DB9" s="207">
        <f t="shared" si="47"/>
        <v>371698.02280000004</v>
      </c>
      <c r="DC9" s="206">
        <v>0</v>
      </c>
      <c r="DD9" s="206">
        <v>252536948.96000001</v>
      </c>
      <c r="DE9" s="206">
        <v>0</v>
      </c>
      <c r="DF9" s="206">
        <v>23801946.09</v>
      </c>
      <c r="DG9" s="207">
        <f t="shared" si="48"/>
        <v>276338.89504999999</v>
      </c>
      <c r="DH9" s="211">
        <f t="shared" si="18"/>
        <v>325923.52280000004</v>
      </c>
      <c r="DI9" s="211">
        <f t="shared" si="19"/>
        <v>246174.74896</v>
      </c>
      <c r="DJ9" s="207">
        <f t="shared" si="49"/>
        <v>75.531445795970626</v>
      </c>
      <c r="DK9" s="206">
        <v>42137000</v>
      </c>
      <c r="DL9" s="207">
        <f t="shared" si="50"/>
        <v>42137</v>
      </c>
      <c r="DM9" s="206">
        <v>30868061.449999999</v>
      </c>
      <c r="DN9" s="207">
        <f t="shared" si="50"/>
        <v>30868.061450000001</v>
      </c>
      <c r="DO9" s="210">
        <v>495863.29</v>
      </c>
      <c r="DP9" s="207">
        <f t="shared" si="50"/>
        <v>495.86329000000001</v>
      </c>
      <c r="DQ9" s="210">
        <v>613152.65</v>
      </c>
      <c r="DR9" s="207">
        <f t="shared" si="50"/>
        <v>613.15264999999999</v>
      </c>
      <c r="DS9" s="207">
        <f t="shared" si="51"/>
        <v>117.28935999999999</v>
      </c>
      <c r="DT9" s="207">
        <v>902.33782999999994</v>
      </c>
      <c r="DU9" s="207">
        <v>82</v>
      </c>
      <c r="DV9" s="207">
        <v>4722.0982000000004</v>
      </c>
      <c r="DW9" s="207">
        <v>1.165</v>
      </c>
      <c r="DX9" s="207">
        <f t="shared" si="52"/>
        <v>3819.7603700000004</v>
      </c>
      <c r="DY9" s="207">
        <f t="shared" si="53"/>
        <v>-80.834999999999994</v>
      </c>
    </row>
    <row r="10" spans="1:129" s="207" customFormat="1" x14ac:dyDescent="0.25">
      <c r="A10" s="205" t="s">
        <v>166</v>
      </c>
      <c r="B10" s="206">
        <v>0</v>
      </c>
      <c r="C10" s="206">
        <v>486943900</v>
      </c>
      <c r="D10" s="206">
        <v>31459898.460000001</v>
      </c>
      <c r="E10" s="206">
        <v>38760563.270000003</v>
      </c>
      <c r="F10" s="207">
        <f t="shared" si="20"/>
        <v>557164.36173</v>
      </c>
      <c r="G10" s="206">
        <v>0</v>
      </c>
      <c r="H10" s="206">
        <v>379769258.66000003</v>
      </c>
      <c r="I10" s="206">
        <v>20825425.73</v>
      </c>
      <c r="J10" s="206">
        <v>28777535.309999999</v>
      </c>
      <c r="K10" s="207">
        <f t="shared" si="0"/>
        <v>429372.21970000007</v>
      </c>
      <c r="L10" s="206">
        <v>39568504.960000001</v>
      </c>
      <c r="M10" s="206">
        <v>0</v>
      </c>
      <c r="N10" s="206">
        <v>0</v>
      </c>
      <c r="O10" s="207">
        <f t="shared" si="21"/>
        <v>39568.504959999998</v>
      </c>
      <c r="P10" s="206">
        <v>31300764.23</v>
      </c>
      <c r="Q10" s="206">
        <v>0</v>
      </c>
      <c r="R10" s="206">
        <v>0</v>
      </c>
      <c r="S10" s="207">
        <f t="shared" si="22"/>
        <v>31300.764230000001</v>
      </c>
      <c r="T10" s="206">
        <v>0</v>
      </c>
      <c r="U10" s="206">
        <v>495753472.66000003</v>
      </c>
      <c r="V10" s="206">
        <v>31991311.940000001</v>
      </c>
      <c r="W10" s="206">
        <v>39591850.810000002</v>
      </c>
      <c r="X10" s="207">
        <f t="shared" si="1"/>
        <v>567336.6354100001</v>
      </c>
      <c r="Y10" s="206">
        <v>0</v>
      </c>
      <c r="Z10" s="206">
        <v>382358181.12</v>
      </c>
      <c r="AA10" s="206">
        <v>20767614.68</v>
      </c>
      <c r="AB10" s="206">
        <v>27724683.02</v>
      </c>
      <c r="AC10" s="207">
        <f t="shared" si="23"/>
        <v>430850.47882000002</v>
      </c>
      <c r="AD10" s="207">
        <f t="shared" si="2"/>
        <v>517595.85677000001</v>
      </c>
      <c r="AE10" s="207">
        <f t="shared" si="3"/>
        <v>398071.45547000004</v>
      </c>
      <c r="AF10" s="207">
        <f t="shared" si="24"/>
        <v>76.907774717155021</v>
      </c>
      <c r="AG10" s="208">
        <v>517596</v>
      </c>
      <c r="AH10" s="208">
        <f t="shared" si="25"/>
        <v>0.14322999998694286</v>
      </c>
      <c r="AI10" s="208">
        <v>398071</v>
      </c>
      <c r="AJ10" s="208">
        <f t="shared" si="26"/>
        <v>-0.45547000004444271</v>
      </c>
      <c r="AK10" s="207">
        <f t="shared" si="4"/>
        <v>527768.13045000006</v>
      </c>
      <c r="AL10" s="207">
        <f t="shared" si="5"/>
        <v>399549.71458999999</v>
      </c>
      <c r="AM10" s="207">
        <f t="shared" si="27"/>
        <v>75.705540281358978</v>
      </c>
      <c r="AN10" s="206">
        <v>0</v>
      </c>
      <c r="AO10" s="206">
        <v>413771500</v>
      </c>
      <c r="AP10" s="206">
        <v>7621798.46</v>
      </c>
      <c r="AQ10" s="206">
        <v>31946706.5</v>
      </c>
      <c r="AR10" s="209">
        <f t="shared" si="6"/>
        <v>0</v>
      </c>
      <c r="AS10" s="207">
        <f t="shared" si="28"/>
        <v>453340.00495999999</v>
      </c>
      <c r="AT10" s="206">
        <v>0</v>
      </c>
      <c r="AU10" s="206">
        <v>327592202.22000003</v>
      </c>
      <c r="AV10" s="206">
        <v>6918446.0099999998</v>
      </c>
      <c r="AW10" s="206">
        <v>24382318.219999999</v>
      </c>
      <c r="AX10" s="209">
        <f t="shared" si="7"/>
        <v>0</v>
      </c>
      <c r="AY10" s="207">
        <f t="shared" si="29"/>
        <v>358892.96645000007</v>
      </c>
      <c r="AZ10" s="207">
        <f t="shared" si="8"/>
        <v>413771.5</v>
      </c>
      <c r="BA10" s="207">
        <f t="shared" si="9"/>
        <v>327592.20222000009</v>
      </c>
      <c r="BB10" s="207">
        <f t="shared" si="30"/>
        <v>79.172248987665924</v>
      </c>
      <c r="BC10" s="206">
        <v>0</v>
      </c>
      <c r="BD10" s="206">
        <v>74129500</v>
      </c>
      <c r="BE10" s="206">
        <v>23838100</v>
      </c>
      <c r="BF10" s="206">
        <v>6815100</v>
      </c>
      <c r="BG10" s="207">
        <f t="shared" si="31"/>
        <v>104782.7</v>
      </c>
      <c r="BH10" s="206">
        <v>0</v>
      </c>
      <c r="BI10" s="206">
        <v>52834156.439999998</v>
      </c>
      <c r="BJ10" s="206">
        <v>13896979.720000001</v>
      </c>
      <c r="BK10" s="206">
        <v>4233460.32</v>
      </c>
      <c r="BL10" s="207">
        <f t="shared" si="32"/>
        <v>70964.596479999993</v>
      </c>
      <c r="BM10" s="210">
        <v>11611100</v>
      </c>
      <c r="BN10" s="207">
        <f t="shared" si="33"/>
        <v>11611.1</v>
      </c>
      <c r="BO10" s="210">
        <v>7809216.5099999998</v>
      </c>
      <c r="BP10" s="207">
        <f t="shared" si="34"/>
        <v>7809.2165100000002</v>
      </c>
      <c r="BQ10" s="207">
        <f t="shared" si="10"/>
        <v>67.25647449423397</v>
      </c>
      <c r="BR10" s="210">
        <v>10032600</v>
      </c>
      <c r="BS10" s="207">
        <f t="shared" si="35"/>
        <v>10032.6</v>
      </c>
      <c r="BT10" s="375">
        <v>264706.53000000003</v>
      </c>
      <c r="BU10" s="207">
        <f t="shared" si="36"/>
        <v>264.70653000000004</v>
      </c>
      <c r="BV10" s="207">
        <f t="shared" si="11"/>
        <v>2.6384639076610252</v>
      </c>
      <c r="BW10" s="210">
        <v>8440000</v>
      </c>
      <c r="BX10" s="207">
        <f t="shared" si="37"/>
        <v>8440</v>
      </c>
      <c r="BY10" s="210">
        <v>-35790.33</v>
      </c>
      <c r="BZ10" s="207">
        <f t="shared" si="38"/>
        <v>-35.790330000000004</v>
      </c>
      <c r="CA10" s="210">
        <v>2847475.77</v>
      </c>
      <c r="CB10" s="207">
        <f t="shared" si="39"/>
        <v>2847.47577</v>
      </c>
      <c r="CC10" s="207">
        <f t="shared" si="12"/>
        <v>33.73786457345971</v>
      </c>
      <c r="CD10" s="207">
        <f t="shared" si="40"/>
        <v>2883.2660999999998</v>
      </c>
      <c r="CE10" s="207">
        <f t="shared" si="41"/>
        <v>-8055.9919397222648</v>
      </c>
      <c r="CF10" s="210">
        <v>13920300</v>
      </c>
      <c r="CG10" s="207">
        <f t="shared" si="42"/>
        <v>13920.3</v>
      </c>
      <c r="CH10" s="210">
        <v>12213460.82</v>
      </c>
      <c r="CI10" s="207">
        <f t="shared" si="43"/>
        <v>12213.46082</v>
      </c>
      <c r="CJ10" s="207">
        <f t="shared" si="13"/>
        <v>87.738488538321732</v>
      </c>
      <c r="CK10" s="207">
        <v>6804.6165499999997</v>
      </c>
      <c r="CL10" s="207">
        <v>658.34322999999995</v>
      </c>
      <c r="CM10" s="210">
        <v>46295150.740000002</v>
      </c>
      <c r="CN10" s="207">
        <f t="shared" si="44"/>
        <v>46295.150740000005</v>
      </c>
      <c r="CO10" s="210">
        <v>472872.62</v>
      </c>
      <c r="CP10" s="207">
        <f t="shared" si="45"/>
        <v>472.87261999999998</v>
      </c>
      <c r="CQ10" s="207">
        <f t="shared" si="14"/>
        <v>39490.534190000006</v>
      </c>
      <c r="CR10" s="207">
        <f t="shared" si="15"/>
        <v>-185.47060999999997</v>
      </c>
      <c r="CS10" s="207">
        <f t="shared" si="16"/>
        <v>-10172.273680000042</v>
      </c>
      <c r="CT10" s="207">
        <f t="shared" si="17"/>
        <v>-1478.2591199999442</v>
      </c>
      <c r="CW10" s="207">
        <f t="shared" si="46"/>
        <v>0</v>
      </c>
      <c r="CX10" s="206">
        <v>0</v>
      </c>
      <c r="CY10" s="206">
        <v>412814400</v>
      </c>
      <c r="CZ10" s="206">
        <v>7621798.46</v>
      </c>
      <c r="DA10" s="206">
        <v>31945463.27</v>
      </c>
      <c r="DB10" s="207">
        <f t="shared" si="47"/>
        <v>452381.66172999993</v>
      </c>
      <c r="DC10" s="206">
        <v>0</v>
      </c>
      <c r="DD10" s="206">
        <v>326935102.22000003</v>
      </c>
      <c r="DE10" s="206">
        <v>6928446.0099999998</v>
      </c>
      <c r="DF10" s="206">
        <v>24544074.989999998</v>
      </c>
      <c r="DG10" s="207">
        <f t="shared" si="48"/>
        <v>358407.62322000001</v>
      </c>
      <c r="DH10" s="211">
        <f t="shared" si="18"/>
        <v>412813.15676999994</v>
      </c>
      <c r="DI10" s="211">
        <f t="shared" si="19"/>
        <v>327106.85898999998</v>
      </c>
      <c r="DJ10" s="207">
        <f t="shared" si="49"/>
        <v>79.23847717194937</v>
      </c>
      <c r="DK10" s="206">
        <v>48395000</v>
      </c>
      <c r="DL10" s="207">
        <f t="shared" si="50"/>
        <v>48395</v>
      </c>
      <c r="DM10" s="206">
        <v>38815213.020000003</v>
      </c>
      <c r="DN10" s="207">
        <f t="shared" si="50"/>
        <v>38815.213020000003</v>
      </c>
      <c r="DO10" s="210">
        <v>131287.56</v>
      </c>
      <c r="DP10" s="207">
        <f t="shared" si="50"/>
        <v>131.28755999999998</v>
      </c>
      <c r="DQ10" s="210">
        <v>131911.26999999999</v>
      </c>
      <c r="DR10" s="207">
        <f t="shared" si="50"/>
        <v>131.91127</v>
      </c>
      <c r="DS10" s="207">
        <f t="shared" si="51"/>
        <v>0.62371000000001686</v>
      </c>
      <c r="DT10" s="207">
        <v>8822.1078100000013</v>
      </c>
      <c r="DU10" s="207">
        <v>4549.0469999999996</v>
      </c>
      <c r="DV10" s="207">
        <v>14696.345300000001</v>
      </c>
      <c r="DW10" s="207">
        <v>5664.5019000000002</v>
      </c>
      <c r="DX10" s="207">
        <f t="shared" si="52"/>
        <v>5874.2374899999995</v>
      </c>
      <c r="DY10" s="207">
        <f t="shared" si="53"/>
        <v>1115.4549000000006</v>
      </c>
    </row>
    <row r="11" spans="1:129" s="207" customFormat="1" x14ac:dyDescent="0.25">
      <c r="A11" s="205" t="s">
        <v>167</v>
      </c>
      <c r="B11" s="206">
        <v>0</v>
      </c>
      <c r="C11" s="206">
        <v>474639379.06</v>
      </c>
      <c r="D11" s="206">
        <v>60551164.990000002</v>
      </c>
      <c r="E11" s="206">
        <v>14173960</v>
      </c>
      <c r="F11" s="207">
        <f t="shared" si="20"/>
        <v>549364.50404999999</v>
      </c>
      <c r="G11" s="206">
        <v>0</v>
      </c>
      <c r="H11" s="206">
        <v>341387451.11000001</v>
      </c>
      <c r="I11" s="206">
        <v>42598580.020000003</v>
      </c>
      <c r="J11" s="206">
        <v>8929842.7599999998</v>
      </c>
      <c r="K11" s="207">
        <f t="shared" si="0"/>
        <v>392915.87388999999</v>
      </c>
      <c r="L11" s="206">
        <v>41525325</v>
      </c>
      <c r="M11" s="206">
        <v>0</v>
      </c>
      <c r="N11" s="206">
        <v>0</v>
      </c>
      <c r="O11" s="207">
        <f t="shared" si="21"/>
        <v>41525.324999999997</v>
      </c>
      <c r="P11" s="206">
        <v>28830030.219999999</v>
      </c>
      <c r="Q11" s="206">
        <v>0</v>
      </c>
      <c r="R11" s="206">
        <v>0</v>
      </c>
      <c r="S11" s="207">
        <f t="shared" si="22"/>
        <v>28830.030220000001</v>
      </c>
      <c r="T11" s="206">
        <v>0</v>
      </c>
      <c r="U11" s="206">
        <v>528428025.00999999</v>
      </c>
      <c r="V11" s="206">
        <v>61685015.960000001</v>
      </c>
      <c r="W11" s="206">
        <v>14826324.92</v>
      </c>
      <c r="X11" s="207">
        <f t="shared" si="1"/>
        <v>604939.36589000002</v>
      </c>
      <c r="Y11" s="206">
        <v>0</v>
      </c>
      <c r="Z11" s="206">
        <v>397014754.06</v>
      </c>
      <c r="AA11" s="206">
        <v>43125975.740000002</v>
      </c>
      <c r="AB11" s="206">
        <v>9710396.1899999995</v>
      </c>
      <c r="AC11" s="207">
        <f t="shared" si="23"/>
        <v>449851.12599000003</v>
      </c>
      <c r="AD11" s="207">
        <f t="shared" si="2"/>
        <v>507839.17904999998</v>
      </c>
      <c r="AE11" s="207">
        <f t="shared" si="3"/>
        <v>364085.84366999997</v>
      </c>
      <c r="AF11" s="207">
        <f t="shared" si="24"/>
        <v>71.693138042457619</v>
      </c>
      <c r="AG11" s="208">
        <v>507839</v>
      </c>
      <c r="AH11" s="208">
        <f t="shared" si="25"/>
        <v>-0.17904999997699633</v>
      </c>
      <c r="AI11" s="208">
        <v>364086</v>
      </c>
      <c r="AJ11" s="208">
        <f t="shared" si="26"/>
        <v>0.15633000002708286</v>
      </c>
      <c r="AK11" s="207">
        <f t="shared" si="4"/>
        <v>563414.04089000006</v>
      </c>
      <c r="AL11" s="207">
        <f t="shared" si="5"/>
        <v>421021.09577000001</v>
      </c>
      <c r="AM11" s="207">
        <f t="shared" si="27"/>
        <v>74.726766678539235</v>
      </c>
      <c r="AN11" s="206">
        <v>0</v>
      </c>
      <c r="AO11" s="206">
        <v>415119367.58999997</v>
      </c>
      <c r="AP11" s="206">
        <v>36245365</v>
      </c>
      <c r="AQ11" s="206">
        <v>5279960</v>
      </c>
      <c r="AR11" s="209">
        <f t="shared" si="6"/>
        <v>0</v>
      </c>
      <c r="AS11" s="207">
        <f t="shared" si="28"/>
        <v>456644.69258999999</v>
      </c>
      <c r="AT11" s="206">
        <v>0</v>
      </c>
      <c r="AU11" s="206">
        <v>303353080.94</v>
      </c>
      <c r="AV11" s="206">
        <v>24662270.219999999</v>
      </c>
      <c r="AW11" s="206">
        <v>4167760</v>
      </c>
      <c r="AX11" s="209">
        <f t="shared" si="7"/>
        <v>0</v>
      </c>
      <c r="AY11" s="207">
        <f t="shared" si="29"/>
        <v>332183.11115999997</v>
      </c>
      <c r="AZ11" s="207">
        <f t="shared" si="8"/>
        <v>415119.36758999998</v>
      </c>
      <c r="BA11" s="207">
        <f t="shared" si="9"/>
        <v>303353.08093999996</v>
      </c>
      <c r="BB11" s="207">
        <f t="shared" si="30"/>
        <v>73.076108855420117</v>
      </c>
      <c r="BC11" s="206">
        <v>0</v>
      </c>
      <c r="BD11" s="206">
        <v>100984673.48999999</v>
      </c>
      <c r="BE11" s="206">
        <v>24305800</v>
      </c>
      <c r="BF11" s="206">
        <v>8326000</v>
      </c>
      <c r="BG11" s="207">
        <f t="shared" si="31"/>
        <v>133616.47349</v>
      </c>
      <c r="BH11" s="206">
        <v>0</v>
      </c>
      <c r="BI11" s="206">
        <v>79482541.189999998</v>
      </c>
      <c r="BJ11" s="206">
        <v>17936309.809999999</v>
      </c>
      <c r="BK11" s="206">
        <v>4188582.76</v>
      </c>
      <c r="BL11" s="207">
        <f t="shared" si="32"/>
        <v>101607.43376</v>
      </c>
      <c r="BM11" s="210">
        <v>18901420</v>
      </c>
      <c r="BN11" s="207">
        <f t="shared" si="33"/>
        <v>18901.419999999998</v>
      </c>
      <c r="BO11" s="210">
        <v>13522144.460000001</v>
      </c>
      <c r="BP11" s="207">
        <f t="shared" si="34"/>
        <v>13522.144460000001</v>
      </c>
      <c r="BQ11" s="207">
        <f t="shared" si="10"/>
        <v>71.540362893369931</v>
      </c>
      <c r="BR11" s="210">
        <v>16094100</v>
      </c>
      <c r="BS11" s="207">
        <f t="shared" si="35"/>
        <v>16094.1</v>
      </c>
      <c r="BT11" s="375">
        <v>17481634.280000001</v>
      </c>
      <c r="BU11" s="207">
        <f t="shared" si="36"/>
        <v>17481.634280000002</v>
      </c>
      <c r="BV11" s="207">
        <f t="shared" si="11"/>
        <v>108.62138473105053</v>
      </c>
      <c r="BW11" s="210">
        <v>9719000</v>
      </c>
      <c r="BX11" s="207">
        <f t="shared" si="37"/>
        <v>9719</v>
      </c>
      <c r="BY11" s="210">
        <v>2711724.24</v>
      </c>
      <c r="BZ11" s="207">
        <f t="shared" si="38"/>
        <v>2711.72424</v>
      </c>
      <c r="CA11" s="210">
        <v>3080232.63</v>
      </c>
      <c r="CB11" s="207">
        <f t="shared" si="39"/>
        <v>3080.23263</v>
      </c>
      <c r="CC11" s="207">
        <f t="shared" si="12"/>
        <v>31.69289669719107</v>
      </c>
      <c r="CD11" s="207">
        <f t="shared" si="40"/>
        <v>368.50838999999996</v>
      </c>
      <c r="CE11" s="207">
        <f t="shared" si="41"/>
        <v>13.589449272319825</v>
      </c>
      <c r="CF11" s="210">
        <v>12369353.49</v>
      </c>
      <c r="CG11" s="207">
        <f t="shared" si="42"/>
        <v>12369.35349</v>
      </c>
      <c r="CH11" s="210">
        <v>10417811.51</v>
      </c>
      <c r="CI11" s="207">
        <f t="shared" si="43"/>
        <v>10417.81151</v>
      </c>
      <c r="CJ11" s="207">
        <f t="shared" si="13"/>
        <v>84.222764903778341</v>
      </c>
      <c r="CK11" s="207">
        <v>57692.796060000001</v>
      </c>
      <c r="CL11" s="207">
        <v>45581.435380000003</v>
      </c>
      <c r="CM11" s="210">
        <v>18126989.969999999</v>
      </c>
      <c r="CN11" s="207">
        <f t="shared" si="44"/>
        <v>18126.989969999999</v>
      </c>
      <c r="CO11" s="210">
        <v>1403881.95</v>
      </c>
      <c r="CP11" s="207">
        <f t="shared" si="45"/>
        <v>1403.88195</v>
      </c>
      <c r="CQ11" s="207">
        <f t="shared" si="14"/>
        <v>-39565.806089999998</v>
      </c>
      <c r="CR11" s="207">
        <f t="shared" si="15"/>
        <v>-44177.55343</v>
      </c>
      <c r="CS11" s="207">
        <f t="shared" si="16"/>
        <v>-55574.861840000085</v>
      </c>
      <c r="CT11" s="207">
        <f t="shared" si="17"/>
        <v>-56935.252100000042</v>
      </c>
      <c r="CW11" s="207">
        <f t="shared" si="46"/>
        <v>0</v>
      </c>
      <c r="CX11" s="206">
        <v>0</v>
      </c>
      <c r="CY11" s="206">
        <v>373654705.56999999</v>
      </c>
      <c r="CZ11" s="206">
        <v>36245364.990000002</v>
      </c>
      <c r="DA11" s="206">
        <v>5847960</v>
      </c>
      <c r="DB11" s="207">
        <f t="shared" si="47"/>
        <v>415748.03055999998</v>
      </c>
      <c r="DC11" s="206">
        <v>0</v>
      </c>
      <c r="DD11" s="206">
        <v>261904909.91999999</v>
      </c>
      <c r="DE11" s="206">
        <v>24662270.210000001</v>
      </c>
      <c r="DF11" s="206">
        <v>4741260</v>
      </c>
      <c r="DG11" s="207">
        <f t="shared" si="48"/>
        <v>291308.44013</v>
      </c>
      <c r="DH11" s="211">
        <f t="shared" si="18"/>
        <v>374222.70555999997</v>
      </c>
      <c r="DI11" s="211">
        <f t="shared" si="19"/>
        <v>262478.40990999999</v>
      </c>
      <c r="DJ11" s="207">
        <f t="shared" si="49"/>
        <v>70.139627021620214</v>
      </c>
      <c r="DK11" s="206">
        <v>52220000</v>
      </c>
      <c r="DL11" s="207">
        <f t="shared" si="50"/>
        <v>52220</v>
      </c>
      <c r="DM11" s="206">
        <v>39099606.93</v>
      </c>
      <c r="DN11" s="207">
        <f t="shared" si="50"/>
        <v>39099.606930000002</v>
      </c>
      <c r="DO11" s="210">
        <v>339882.98</v>
      </c>
      <c r="DP11" s="207">
        <f t="shared" si="50"/>
        <v>339.88297999999998</v>
      </c>
      <c r="DQ11" s="210">
        <v>135451</v>
      </c>
      <c r="DR11" s="207">
        <f t="shared" si="50"/>
        <v>135.45099999999999</v>
      </c>
      <c r="DS11" s="207">
        <f t="shared" si="51"/>
        <v>-204.43197999999998</v>
      </c>
      <c r="DT11" s="207">
        <v>101010.00519</v>
      </c>
      <c r="DU11" s="207">
        <v>46895.488530000002</v>
      </c>
      <c r="DV11" s="207">
        <v>79673.761299999998</v>
      </c>
      <c r="DW11" s="207">
        <v>52076.659299999999</v>
      </c>
      <c r="DX11" s="207">
        <f t="shared" si="52"/>
        <v>-21336.243889999998</v>
      </c>
      <c r="DY11" s="207">
        <f t="shared" si="53"/>
        <v>5181.170769999997</v>
      </c>
    </row>
    <row r="12" spans="1:129" s="207" customFormat="1" x14ac:dyDescent="0.25">
      <c r="A12" s="205" t="s">
        <v>168</v>
      </c>
      <c r="B12" s="206">
        <v>0</v>
      </c>
      <c r="C12" s="206">
        <v>753215801.71000004</v>
      </c>
      <c r="D12" s="206">
        <v>143003940.71000001</v>
      </c>
      <c r="E12" s="206">
        <v>42059298</v>
      </c>
      <c r="F12" s="207">
        <f t="shared" si="20"/>
        <v>938279.04042000009</v>
      </c>
      <c r="G12" s="206">
        <v>0</v>
      </c>
      <c r="H12" s="206">
        <v>571289899.50999999</v>
      </c>
      <c r="I12" s="206">
        <v>128462443.73999999</v>
      </c>
      <c r="J12" s="206">
        <v>28877344.890000001</v>
      </c>
      <c r="K12" s="207">
        <f t="shared" si="0"/>
        <v>728629.68813999998</v>
      </c>
      <c r="L12" s="206">
        <v>141012438.70999998</v>
      </c>
      <c r="M12" s="206">
        <v>0</v>
      </c>
      <c r="N12" s="206">
        <v>0</v>
      </c>
      <c r="O12" s="207">
        <f t="shared" si="21"/>
        <v>141012.43870999999</v>
      </c>
      <c r="P12" s="206">
        <v>123786474.11999999</v>
      </c>
      <c r="Q12" s="206">
        <v>0</v>
      </c>
      <c r="R12" s="206">
        <v>0</v>
      </c>
      <c r="S12" s="207">
        <f t="shared" si="22"/>
        <v>123786.47411999998</v>
      </c>
      <c r="T12" s="206">
        <v>0</v>
      </c>
      <c r="U12" s="206">
        <v>766106511.72000003</v>
      </c>
      <c r="V12" s="206">
        <v>221175602.09</v>
      </c>
      <c r="W12" s="206">
        <v>42892053</v>
      </c>
      <c r="X12" s="207">
        <f t="shared" si="1"/>
        <v>1030174.1668100001</v>
      </c>
      <c r="Y12" s="206">
        <v>0</v>
      </c>
      <c r="Z12" s="206">
        <v>550719336.5</v>
      </c>
      <c r="AA12" s="206">
        <v>200919087.62</v>
      </c>
      <c r="AB12" s="206">
        <v>27552729.949999999</v>
      </c>
      <c r="AC12" s="207">
        <f t="shared" si="23"/>
        <v>779191.15407000005</v>
      </c>
      <c r="AD12" s="207">
        <f t="shared" si="2"/>
        <v>797266.60171000008</v>
      </c>
      <c r="AE12" s="207">
        <f t="shared" si="3"/>
        <v>604843.21401999996</v>
      </c>
      <c r="AF12" s="207">
        <f t="shared" si="24"/>
        <v>75.864612003402002</v>
      </c>
      <c r="AG12" s="208">
        <v>797267</v>
      </c>
      <c r="AH12" s="208">
        <f t="shared" si="25"/>
        <v>0.39828999992460012</v>
      </c>
      <c r="AI12" s="208">
        <v>604843</v>
      </c>
      <c r="AJ12" s="208">
        <f t="shared" si="26"/>
        <v>-0.2140199999557808</v>
      </c>
      <c r="AK12" s="207">
        <f t="shared" si="4"/>
        <v>889161.72810000007</v>
      </c>
      <c r="AL12" s="207">
        <f t="shared" si="5"/>
        <v>655404.67995000002</v>
      </c>
      <c r="AM12" s="207">
        <f t="shared" si="27"/>
        <v>73.710401520598239</v>
      </c>
      <c r="AN12" s="206">
        <v>0</v>
      </c>
      <c r="AO12" s="206">
        <v>643121141.71000004</v>
      </c>
      <c r="AP12" s="206">
        <v>110505940.70999999</v>
      </c>
      <c r="AQ12" s="206">
        <v>30506498</v>
      </c>
      <c r="AR12" s="209">
        <f t="shared" si="6"/>
        <v>0</v>
      </c>
      <c r="AS12" s="207">
        <f t="shared" si="28"/>
        <v>784133.58042000013</v>
      </c>
      <c r="AT12" s="206">
        <v>0</v>
      </c>
      <c r="AU12" s="206">
        <v>485232356.13</v>
      </c>
      <c r="AV12" s="206">
        <v>103085779.70999999</v>
      </c>
      <c r="AW12" s="206">
        <v>20700694.41</v>
      </c>
      <c r="AX12" s="209">
        <f t="shared" si="7"/>
        <v>0</v>
      </c>
      <c r="AY12" s="207">
        <f t="shared" si="29"/>
        <v>609018.83025</v>
      </c>
      <c r="AZ12" s="207">
        <f t="shared" si="8"/>
        <v>643121.14171000011</v>
      </c>
      <c r="BA12" s="207">
        <f t="shared" si="9"/>
        <v>485232.35613000003</v>
      </c>
      <c r="BB12" s="207">
        <f t="shared" si="30"/>
        <v>75.449604228499112</v>
      </c>
      <c r="BC12" s="206">
        <v>0</v>
      </c>
      <c r="BD12" s="206">
        <v>110161900</v>
      </c>
      <c r="BE12" s="206">
        <v>32498000</v>
      </c>
      <c r="BF12" s="206">
        <v>11874000</v>
      </c>
      <c r="BG12" s="207">
        <f t="shared" si="31"/>
        <v>154533.9</v>
      </c>
      <c r="BH12" s="206">
        <v>0</v>
      </c>
      <c r="BI12" s="206">
        <v>86124783.379999995</v>
      </c>
      <c r="BJ12" s="206">
        <v>25376664.030000001</v>
      </c>
      <c r="BK12" s="206">
        <v>8497850.4800000004</v>
      </c>
      <c r="BL12" s="207">
        <f t="shared" si="32"/>
        <v>119999.29789</v>
      </c>
      <c r="BM12" s="210">
        <v>17499000</v>
      </c>
      <c r="BN12" s="207">
        <f t="shared" si="33"/>
        <v>17499</v>
      </c>
      <c r="BO12" s="210">
        <v>13739747.289999999</v>
      </c>
      <c r="BP12" s="207">
        <f t="shared" si="34"/>
        <v>13739.747289999999</v>
      </c>
      <c r="BQ12" s="207">
        <f t="shared" si="10"/>
        <v>78.517328361620656</v>
      </c>
      <c r="BR12" s="210">
        <v>8987000</v>
      </c>
      <c r="BS12" s="207">
        <f t="shared" si="35"/>
        <v>8987</v>
      </c>
      <c r="BT12" s="375">
        <v>9182198.4199999999</v>
      </c>
      <c r="BU12" s="207">
        <f t="shared" si="36"/>
        <v>9182.1984200000006</v>
      </c>
      <c r="BV12" s="207">
        <f t="shared" si="11"/>
        <v>102.1720086792033</v>
      </c>
      <c r="BW12" s="210">
        <v>9740000</v>
      </c>
      <c r="BX12" s="207">
        <f t="shared" si="37"/>
        <v>9740</v>
      </c>
      <c r="BY12" s="210">
        <v>3821532.26</v>
      </c>
      <c r="BZ12" s="207">
        <f t="shared" si="38"/>
        <v>3821.53226</v>
      </c>
      <c r="CA12" s="210">
        <v>5644942.5199999996</v>
      </c>
      <c r="CB12" s="207">
        <f t="shared" si="39"/>
        <v>5644.9425199999996</v>
      </c>
      <c r="CC12" s="207">
        <f t="shared" si="12"/>
        <v>57.956288706365498</v>
      </c>
      <c r="CD12" s="207">
        <f t="shared" si="40"/>
        <v>1823.4102599999997</v>
      </c>
      <c r="CE12" s="207">
        <f t="shared" si="41"/>
        <v>47.714114023990987</v>
      </c>
      <c r="CF12" s="210">
        <v>9755000</v>
      </c>
      <c r="CG12" s="207">
        <f t="shared" si="42"/>
        <v>9755</v>
      </c>
      <c r="CH12" s="210">
        <v>9113845.9000000004</v>
      </c>
      <c r="CI12" s="207">
        <f t="shared" si="43"/>
        <v>9113.8459000000003</v>
      </c>
      <c r="CJ12" s="207">
        <f t="shared" si="13"/>
        <v>93.427431060994365</v>
      </c>
      <c r="CK12" s="207">
        <v>89301.083920000005</v>
      </c>
      <c r="CL12" s="207">
        <v>74713.59964</v>
      </c>
      <c r="CM12" s="210">
        <v>44355288.009999998</v>
      </c>
      <c r="CN12" s="207">
        <f t="shared" si="44"/>
        <v>44355.288009999997</v>
      </c>
      <c r="CO12" s="210">
        <v>6911284.5700000003</v>
      </c>
      <c r="CP12" s="207">
        <f t="shared" si="45"/>
        <v>6911.2845700000007</v>
      </c>
      <c r="CQ12" s="207">
        <f t="shared" si="14"/>
        <v>-44945.795910000008</v>
      </c>
      <c r="CR12" s="207">
        <f t="shared" si="15"/>
        <v>-67802.315069999997</v>
      </c>
      <c r="CS12" s="207">
        <f t="shared" si="16"/>
        <v>-91895.12638999999</v>
      </c>
      <c r="CT12" s="207">
        <f t="shared" si="17"/>
        <v>-50561.465930000064</v>
      </c>
      <c r="CW12" s="207">
        <f t="shared" si="46"/>
        <v>0</v>
      </c>
      <c r="CX12" s="206">
        <v>0</v>
      </c>
      <c r="CY12" s="206">
        <v>643053901.71000004</v>
      </c>
      <c r="CZ12" s="206">
        <v>110505940.70999999</v>
      </c>
      <c r="DA12" s="206">
        <v>30185298</v>
      </c>
      <c r="DB12" s="207">
        <f t="shared" si="47"/>
        <v>783745.14042000007</v>
      </c>
      <c r="DC12" s="206">
        <v>0</v>
      </c>
      <c r="DD12" s="206">
        <v>485165116.13</v>
      </c>
      <c r="DE12" s="206">
        <v>103085779.70999999</v>
      </c>
      <c r="DF12" s="206">
        <v>20379494.41</v>
      </c>
      <c r="DG12" s="207">
        <f t="shared" si="48"/>
        <v>608630.39025000005</v>
      </c>
      <c r="DH12" s="211">
        <f t="shared" si="18"/>
        <v>642732.70171000005</v>
      </c>
      <c r="DI12" s="211">
        <f t="shared" si="19"/>
        <v>484843.91613000009</v>
      </c>
      <c r="DJ12" s="207">
        <f t="shared" si="49"/>
        <v>75.434767025244795</v>
      </c>
      <c r="DK12" s="206">
        <v>91067900</v>
      </c>
      <c r="DL12" s="207">
        <f t="shared" si="50"/>
        <v>91067.9</v>
      </c>
      <c r="DM12" s="206">
        <v>68467917.629999995</v>
      </c>
      <c r="DN12" s="207">
        <f t="shared" si="50"/>
        <v>68467.917629999996</v>
      </c>
      <c r="DO12" s="210">
        <v>170126</v>
      </c>
      <c r="DP12" s="207">
        <f t="shared" si="50"/>
        <v>170.126</v>
      </c>
      <c r="DQ12" s="210">
        <v>292568</v>
      </c>
      <c r="DR12" s="207">
        <f t="shared" si="50"/>
        <v>292.56799999999998</v>
      </c>
      <c r="DS12" s="207">
        <f t="shared" si="51"/>
        <v>122.44199999999998</v>
      </c>
      <c r="DT12" s="207">
        <v>174469.97242999999</v>
      </c>
      <c r="DU12" s="207">
        <v>20729.255960000002</v>
      </c>
      <c r="DV12" s="207">
        <v>45808.191500000001</v>
      </c>
      <c r="DW12" s="207">
        <v>18550.6646</v>
      </c>
      <c r="DX12" s="207">
        <f t="shared" si="52"/>
        <v>-128661.78092999999</v>
      </c>
      <c r="DY12" s="207">
        <f t="shared" si="53"/>
        <v>-2178.5913600000022</v>
      </c>
    </row>
    <row r="13" spans="1:129" s="207" customFormat="1" x14ac:dyDescent="0.25">
      <c r="A13" s="205" t="s">
        <v>169</v>
      </c>
      <c r="B13" s="206">
        <v>0</v>
      </c>
      <c r="C13" s="206">
        <v>484207662.99000001</v>
      </c>
      <c r="D13" s="206">
        <v>97420922.200000003</v>
      </c>
      <c r="E13" s="206">
        <v>26351123.5</v>
      </c>
      <c r="F13" s="207">
        <f t="shared" si="20"/>
        <v>607979.70869</v>
      </c>
      <c r="G13" s="206">
        <v>0</v>
      </c>
      <c r="H13" s="206">
        <v>357505493.22000003</v>
      </c>
      <c r="I13" s="206">
        <v>52701051.329999998</v>
      </c>
      <c r="J13" s="206">
        <v>13023750.869999999</v>
      </c>
      <c r="K13" s="207">
        <f t="shared" si="0"/>
        <v>423230.29542000004</v>
      </c>
      <c r="L13" s="206">
        <v>50160477</v>
      </c>
      <c r="M13" s="206">
        <v>0</v>
      </c>
      <c r="N13" s="206">
        <v>0</v>
      </c>
      <c r="O13" s="207">
        <f t="shared" si="21"/>
        <v>50160.476999999999</v>
      </c>
      <c r="P13" s="206">
        <v>22807033.810000002</v>
      </c>
      <c r="Q13" s="206">
        <v>0</v>
      </c>
      <c r="R13" s="206">
        <v>0</v>
      </c>
      <c r="S13" s="207">
        <f t="shared" si="22"/>
        <v>22807.033810000001</v>
      </c>
      <c r="T13" s="206">
        <v>0</v>
      </c>
      <c r="U13" s="206">
        <v>499568654.26999998</v>
      </c>
      <c r="V13" s="206">
        <v>103295069.39</v>
      </c>
      <c r="W13" s="206">
        <v>26661414.489999998</v>
      </c>
      <c r="X13" s="207">
        <f t="shared" si="1"/>
        <v>629525.13815000001</v>
      </c>
      <c r="Y13" s="206">
        <v>0</v>
      </c>
      <c r="Z13" s="206">
        <v>363013460.20999998</v>
      </c>
      <c r="AA13" s="206">
        <v>53202722.670000002</v>
      </c>
      <c r="AB13" s="206">
        <v>13003091.74</v>
      </c>
      <c r="AC13" s="207">
        <f t="shared" si="23"/>
        <v>429219.27461999998</v>
      </c>
      <c r="AD13" s="207">
        <f t="shared" si="2"/>
        <v>557819.23169000004</v>
      </c>
      <c r="AE13" s="207">
        <f t="shared" si="3"/>
        <v>400423.26161000005</v>
      </c>
      <c r="AF13" s="207">
        <f t="shared" si="24"/>
        <v>71.783696018664614</v>
      </c>
      <c r="AG13" s="208">
        <v>557819</v>
      </c>
      <c r="AH13" s="208">
        <f t="shared" si="25"/>
        <v>-0.23169000004418194</v>
      </c>
      <c r="AI13" s="208">
        <v>400423</v>
      </c>
      <c r="AJ13" s="208">
        <f t="shared" si="26"/>
        <v>-0.26161000004503876</v>
      </c>
      <c r="AK13" s="207">
        <f t="shared" si="4"/>
        <v>579364.66115000006</v>
      </c>
      <c r="AL13" s="207">
        <f t="shared" si="5"/>
        <v>406412.24080999999</v>
      </c>
      <c r="AM13" s="207">
        <f t="shared" si="27"/>
        <v>70.147916858321821</v>
      </c>
      <c r="AN13" s="206">
        <v>0</v>
      </c>
      <c r="AO13" s="206">
        <v>375250929.5</v>
      </c>
      <c r="AP13" s="206">
        <v>31498758</v>
      </c>
      <c r="AQ13" s="206">
        <v>18661719</v>
      </c>
      <c r="AR13" s="209">
        <f t="shared" si="6"/>
        <v>0</v>
      </c>
      <c r="AS13" s="207">
        <f t="shared" si="28"/>
        <v>425411.40649999998</v>
      </c>
      <c r="AT13" s="206">
        <v>0</v>
      </c>
      <c r="AU13" s="206">
        <v>271512277.13</v>
      </c>
      <c r="AV13" s="206">
        <v>12772791.779999999</v>
      </c>
      <c r="AW13" s="206">
        <v>10034242.029999999</v>
      </c>
      <c r="AX13" s="209">
        <f t="shared" si="7"/>
        <v>0</v>
      </c>
      <c r="AY13" s="207">
        <f t="shared" si="29"/>
        <v>294319.31093999994</v>
      </c>
      <c r="AZ13" s="207">
        <f t="shared" si="8"/>
        <v>375250.92949999997</v>
      </c>
      <c r="BA13" s="207">
        <f t="shared" si="9"/>
        <v>271512.27712999994</v>
      </c>
      <c r="BB13" s="207">
        <f t="shared" si="30"/>
        <v>72.354857985768149</v>
      </c>
      <c r="BC13" s="206">
        <v>0</v>
      </c>
      <c r="BD13" s="206">
        <v>109448729.38</v>
      </c>
      <c r="BE13" s="206">
        <v>65923852.609999999</v>
      </c>
      <c r="BF13" s="206">
        <v>7689404.5</v>
      </c>
      <c r="BG13" s="207">
        <f t="shared" si="31"/>
        <v>183061.98649000001</v>
      </c>
      <c r="BH13" s="206">
        <v>0</v>
      </c>
      <c r="BI13" s="206">
        <v>86485211.980000004</v>
      </c>
      <c r="BJ13" s="206">
        <v>39929947.960000001</v>
      </c>
      <c r="BK13" s="206">
        <v>2989508.84</v>
      </c>
      <c r="BL13" s="207">
        <f t="shared" si="32"/>
        <v>129404.66878000001</v>
      </c>
      <c r="BM13" s="210">
        <v>7704807</v>
      </c>
      <c r="BN13" s="207">
        <f t="shared" si="33"/>
        <v>7704.8069999999998</v>
      </c>
      <c r="BO13" s="210">
        <v>5529214.8899999997</v>
      </c>
      <c r="BP13" s="207">
        <f t="shared" si="34"/>
        <v>5529.2148899999993</v>
      </c>
      <c r="BQ13" s="207">
        <f t="shared" si="10"/>
        <v>71.763184853300018</v>
      </c>
      <c r="BR13" s="210">
        <v>3627633.5</v>
      </c>
      <c r="BS13" s="207">
        <f t="shared" si="35"/>
        <v>3627.6334999999999</v>
      </c>
      <c r="BT13" s="375">
        <v>2061694.14</v>
      </c>
      <c r="BU13" s="207">
        <f t="shared" si="36"/>
        <v>2061.6941400000001</v>
      </c>
      <c r="BV13" s="207">
        <f t="shared" si="11"/>
        <v>56.833032884937253</v>
      </c>
      <c r="BW13" s="210">
        <v>24260572</v>
      </c>
      <c r="BX13" s="207">
        <f t="shared" si="37"/>
        <v>24260.572</v>
      </c>
      <c r="BY13" s="210">
        <v>7120454.5499999998</v>
      </c>
      <c r="BZ13" s="207">
        <f t="shared" si="38"/>
        <v>7120.4545499999995</v>
      </c>
      <c r="CA13" s="210">
        <v>4073083.31</v>
      </c>
      <c r="CB13" s="207">
        <f t="shared" si="39"/>
        <v>4073.08331</v>
      </c>
      <c r="CC13" s="207">
        <f t="shared" si="12"/>
        <v>16.788900566730248</v>
      </c>
      <c r="CD13" s="207">
        <f t="shared" si="40"/>
        <v>-3047.3712399999995</v>
      </c>
      <c r="CE13" s="207">
        <f t="shared" si="41"/>
        <v>-42.797425622216771</v>
      </c>
      <c r="CF13" s="210">
        <v>25642183.379999999</v>
      </c>
      <c r="CG13" s="207">
        <f t="shared" si="42"/>
        <v>25642.183379999999</v>
      </c>
      <c r="CH13" s="210">
        <v>18237182.219999999</v>
      </c>
      <c r="CI13" s="207">
        <f t="shared" si="43"/>
        <v>18237.182219999999</v>
      </c>
      <c r="CJ13" s="207">
        <f t="shared" si="13"/>
        <v>71.121799379316343</v>
      </c>
      <c r="CK13" s="207">
        <v>9012.1987899999986</v>
      </c>
      <c r="CL13" s="207">
        <v>508.50269000000003</v>
      </c>
      <c r="CM13" s="210">
        <v>14977240.75</v>
      </c>
      <c r="CN13" s="207">
        <f t="shared" si="44"/>
        <v>14977.240750000001</v>
      </c>
      <c r="CO13" s="210">
        <v>950273.21</v>
      </c>
      <c r="CP13" s="207">
        <f t="shared" si="45"/>
        <v>950.27320999999995</v>
      </c>
      <c r="CQ13" s="207">
        <f t="shared" si="14"/>
        <v>5965.0419600000023</v>
      </c>
      <c r="CR13" s="207">
        <f t="shared" si="15"/>
        <v>441.77051999999992</v>
      </c>
      <c r="CS13" s="207">
        <f t="shared" si="16"/>
        <v>-21545.429460000014</v>
      </c>
      <c r="CT13" s="207">
        <f t="shared" si="17"/>
        <v>-5988.9791999999434</v>
      </c>
      <c r="CU13" s="207">
        <v>35614.9</v>
      </c>
      <c r="CV13" s="207">
        <v>28842.9</v>
      </c>
      <c r="CW13" s="207">
        <f t="shared" si="46"/>
        <v>-6772</v>
      </c>
      <c r="CX13" s="206">
        <v>0</v>
      </c>
      <c r="CY13" s="206">
        <v>374758933.61000001</v>
      </c>
      <c r="CZ13" s="206">
        <v>31497069.59</v>
      </c>
      <c r="DA13" s="206">
        <v>18661719</v>
      </c>
      <c r="DB13" s="207">
        <f t="shared" si="47"/>
        <v>424917.72219999996</v>
      </c>
      <c r="DC13" s="206">
        <v>0</v>
      </c>
      <c r="DD13" s="206">
        <v>271020281.24000001</v>
      </c>
      <c r="DE13" s="206">
        <v>12771103.369999999</v>
      </c>
      <c r="DF13" s="206">
        <v>10034242.029999999</v>
      </c>
      <c r="DG13" s="207">
        <f t="shared" si="48"/>
        <v>293825.62663999997</v>
      </c>
      <c r="DH13" s="211">
        <f t="shared" si="18"/>
        <v>374757.24519999995</v>
      </c>
      <c r="DI13" s="211">
        <f t="shared" si="19"/>
        <v>271018.59282999998</v>
      </c>
      <c r="DJ13" s="207">
        <f t="shared" si="49"/>
        <v>72.318439817050944</v>
      </c>
      <c r="DK13" s="206">
        <v>100672347.73</v>
      </c>
      <c r="DL13" s="207">
        <f t="shared" si="50"/>
        <v>100672.34773000001</v>
      </c>
      <c r="DM13" s="206">
        <v>83376627.879999995</v>
      </c>
      <c r="DN13" s="207">
        <f t="shared" si="50"/>
        <v>83376.62788</v>
      </c>
      <c r="DO13" s="210">
        <v>264273.78000000003</v>
      </c>
      <c r="DP13" s="207">
        <f t="shared" si="50"/>
        <v>264.27378000000004</v>
      </c>
      <c r="DQ13" s="210">
        <v>405759.09</v>
      </c>
      <c r="DR13" s="207">
        <f t="shared" si="50"/>
        <v>405.75909000000001</v>
      </c>
      <c r="DS13" s="207">
        <f t="shared" si="51"/>
        <v>141.48530999999997</v>
      </c>
      <c r="DT13" s="207">
        <v>61930.908819999997</v>
      </c>
      <c r="DU13" s="207">
        <v>58097.597540000002</v>
      </c>
      <c r="DV13" s="207">
        <v>91653.218999999997</v>
      </c>
      <c r="DW13" s="207">
        <v>58519.034599999999</v>
      </c>
      <c r="DX13" s="207">
        <f t="shared" si="52"/>
        <v>29722.31018</v>
      </c>
      <c r="DY13" s="207">
        <f t="shared" si="53"/>
        <v>421.43705999999656</v>
      </c>
    </row>
    <row r="14" spans="1:129" s="207" customFormat="1" x14ac:dyDescent="0.25">
      <c r="A14" s="205" t="s">
        <v>170</v>
      </c>
      <c r="B14" s="206">
        <v>0</v>
      </c>
      <c r="C14" s="206">
        <v>637747808.79999995</v>
      </c>
      <c r="D14" s="206">
        <v>0</v>
      </c>
      <c r="E14" s="206">
        <v>47604101.060000002</v>
      </c>
      <c r="F14" s="207">
        <f t="shared" si="20"/>
        <v>685351.9098599999</v>
      </c>
      <c r="G14" s="206">
        <v>0</v>
      </c>
      <c r="H14" s="206">
        <v>493387264</v>
      </c>
      <c r="I14" s="206">
        <v>0</v>
      </c>
      <c r="J14" s="206">
        <v>26246447.73</v>
      </c>
      <c r="K14" s="207">
        <f t="shared" si="0"/>
        <v>519633.71173000004</v>
      </c>
      <c r="L14" s="206">
        <v>28911528.300000001</v>
      </c>
      <c r="M14" s="206">
        <v>0</v>
      </c>
      <c r="N14" s="206">
        <v>350000</v>
      </c>
      <c r="O14" s="207">
        <f t="shared" si="21"/>
        <v>29261.528300000002</v>
      </c>
      <c r="P14" s="206">
        <v>19460574.900000002</v>
      </c>
      <c r="Q14" s="206">
        <v>0</v>
      </c>
      <c r="R14" s="206">
        <v>187500</v>
      </c>
      <c r="S14" s="207">
        <f t="shared" si="22"/>
        <v>19648.074900000003</v>
      </c>
      <c r="T14" s="206">
        <v>0</v>
      </c>
      <c r="U14" s="206">
        <v>644430367.46000004</v>
      </c>
      <c r="V14" s="206">
        <v>0</v>
      </c>
      <c r="W14" s="206">
        <v>48428082.990000002</v>
      </c>
      <c r="X14" s="207">
        <f t="shared" si="1"/>
        <v>692858.45045</v>
      </c>
      <c r="Y14" s="206">
        <v>0</v>
      </c>
      <c r="Z14" s="206">
        <v>492605597.52999997</v>
      </c>
      <c r="AA14" s="206">
        <v>0</v>
      </c>
      <c r="AB14" s="206">
        <v>27993503.48</v>
      </c>
      <c r="AC14" s="207">
        <f t="shared" si="23"/>
        <v>520599.10100999998</v>
      </c>
      <c r="AD14" s="207">
        <f t="shared" si="2"/>
        <v>656090.38155999989</v>
      </c>
      <c r="AE14" s="207">
        <f t="shared" si="3"/>
        <v>499985.63683000003</v>
      </c>
      <c r="AF14" s="207">
        <f t="shared" si="24"/>
        <v>76.206823157683502</v>
      </c>
      <c r="AG14" s="208">
        <v>656090</v>
      </c>
      <c r="AH14" s="208">
        <f t="shared" si="25"/>
        <v>-0.38155999989248812</v>
      </c>
      <c r="AI14" s="208">
        <v>499986</v>
      </c>
      <c r="AJ14" s="208">
        <f t="shared" si="26"/>
        <v>0.36316999996779487</v>
      </c>
      <c r="AK14" s="207">
        <f t="shared" si="4"/>
        <v>663596.92215</v>
      </c>
      <c r="AL14" s="207">
        <f t="shared" si="5"/>
        <v>500951.02610999998</v>
      </c>
      <c r="AM14" s="207">
        <f t="shared" si="27"/>
        <v>75.490257623100405</v>
      </c>
      <c r="AN14" s="206">
        <v>0</v>
      </c>
      <c r="AO14" s="206">
        <v>559663596.60000002</v>
      </c>
      <c r="AP14" s="206">
        <v>0</v>
      </c>
      <c r="AQ14" s="206">
        <v>28911528.300000001</v>
      </c>
      <c r="AR14" s="209">
        <f t="shared" si="6"/>
        <v>0</v>
      </c>
      <c r="AS14" s="207">
        <f t="shared" si="28"/>
        <v>588575.12489999994</v>
      </c>
      <c r="AT14" s="206">
        <v>0</v>
      </c>
      <c r="AU14" s="206">
        <v>439647690.64999998</v>
      </c>
      <c r="AV14" s="206">
        <v>0</v>
      </c>
      <c r="AW14" s="206">
        <v>19460574.899999999</v>
      </c>
      <c r="AX14" s="209">
        <f t="shared" si="7"/>
        <v>0</v>
      </c>
      <c r="AY14" s="207">
        <f t="shared" si="29"/>
        <v>459108.26554999995</v>
      </c>
      <c r="AZ14" s="207">
        <f t="shared" si="8"/>
        <v>559313.59659999993</v>
      </c>
      <c r="BA14" s="207">
        <f t="shared" si="9"/>
        <v>439460.19064999995</v>
      </c>
      <c r="BB14" s="207">
        <f t="shared" si="30"/>
        <v>78.571340536226117</v>
      </c>
      <c r="BC14" s="206">
        <v>0</v>
      </c>
      <c r="BD14" s="206">
        <v>75674892.200000003</v>
      </c>
      <c r="BE14" s="206">
        <v>0</v>
      </c>
      <c r="BF14" s="206">
        <v>18607072.760000002</v>
      </c>
      <c r="BG14" s="207">
        <f t="shared" si="31"/>
        <v>94281.964960000012</v>
      </c>
      <c r="BH14" s="206">
        <v>0</v>
      </c>
      <c r="BI14" s="206">
        <v>51330253.350000001</v>
      </c>
      <c r="BJ14" s="206">
        <v>0</v>
      </c>
      <c r="BK14" s="206">
        <v>6686372.8300000001</v>
      </c>
      <c r="BL14" s="207">
        <f t="shared" si="32"/>
        <v>58016.626179999999</v>
      </c>
      <c r="BM14" s="210">
        <v>11239000</v>
      </c>
      <c r="BN14" s="207">
        <f t="shared" si="33"/>
        <v>11239</v>
      </c>
      <c r="BO14" s="210">
        <v>7907858.2699999996</v>
      </c>
      <c r="BP14" s="207">
        <f t="shared" si="34"/>
        <v>7907.8582699999997</v>
      </c>
      <c r="BQ14" s="207">
        <f t="shared" si="10"/>
        <v>70.360870807011295</v>
      </c>
      <c r="BR14" s="210">
        <v>3012000</v>
      </c>
      <c r="BS14" s="207">
        <f t="shared" si="35"/>
        <v>3012</v>
      </c>
      <c r="BT14" s="375">
        <v>574663.19999999995</v>
      </c>
      <c r="BU14" s="207">
        <f t="shared" si="36"/>
        <v>574.66319999999996</v>
      </c>
      <c r="BV14" s="207">
        <f t="shared" si="11"/>
        <v>19.079123505976092</v>
      </c>
      <c r="BW14" s="210">
        <v>11168066.880000001</v>
      </c>
      <c r="BX14" s="207">
        <f t="shared" si="37"/>
        <v>11168.06688</v>
      </c>
      <c r="BY14" s="210">
        <v>2298569.7799999998</v>
      </c>
      <c r="BZ14" s="207">
        <f t="shared" si="38"/>
        <v>2298.5697799999998</v>
      </c>
      <c r="CA14" s="210">
        <v>2073798.92</v>
      </c>
      <c r="CB14" s="207">
        <f t="shared" si="39"/>
        <v>2073.7989199999997</v>
      </c>
      <c r="CC14" s="207">
        <f t="shared" si="12"/>
        <v>18.569005202805517</v>
      </c>
      <c r="CD14" s="207">
        <f t="shared" si="40"/>
        <v>-224.77086000000008</v>
      </c>
      <c r="CE14" s="207">
        <f t="shared" si="41"/>
        <v>-9.7787268394349098</v>
      </c>
      <c r="CF14" s="210">
        <v>8622792.7599999998</v>
      </c>
      <c r="CG14" s="207">
        <f t="shared" si="42"/>
        <v>8622.7927600000003</v>
      </c>
      <c r="CH14" s="210">
        <v>4847340.53</v>
      </c>
      <c r="CI14" s="207">
        <f t="shared" si="43"/>
        <v>4847.3405300000004</v>
      </c>
      <c r="CJ14" s="207">
        <f t="shared" si="13"/>
        <v>56.215435821282576</v>
      </c>
      <c r="CK14" s="207">
        <v>13311.204039999999</v>
      </c>
      <c r="CL14" s="207">
        <v>248.49199999999999</v>
      </c>
      <c r="CM14" s="210">
        <v>19033261.07</v>
      </c>
      <c r="CN14" s="207">
        <f t="shared" si="44"/>
        <v>19033.26107</v>
      </c>
      <c r="CO14" s="210">
        <v>1721376.22</v>
      </c>
      <c r="CP14" s="207">
        <f t="shared" si="45"/>
        <v>1721.3762199999999</v>
      </c>
      <c r="CQ14" s="207">
        <f t="shared" si="14"/>
        <v>5722.0570300000018</v>
      </c>
      <c r="CR14" s="207">
        <f t="shared" si="15"/>
        <v>1472.8842199999999</v>
      </c>
      <c r="CS14" s="207">
        <f t="shared" si="16"/>
        <v>-7506.540590000106</v>
      </c>
      <c r="CT14" s="207">
        <f t="shared" si="17"/>
        <v>-965.38927999994485</v>
      </c>
      <c r="CU14" s="207">
        <v>0</v>
      </c>
      <c r="CW14" s="207">
        <f t="shared" si="46"/>
        <v>0</v>
      </c>
      <c r="CX14" s="206">
        <v>0</v>
      </c>
      <c r="CY14" s="206">
        <v>562072916.60000002</v>
      </c>
      <c r="CZ14" s="206">
        <v>0</v>
      </c>
      <c r="DA14" s="206">
        <v>28997028.300000001</v>
      </c>
      <c r="DB14" s="207">
        <f t="shared" si="47"/>
        <v>591069.9449</v>
      </c>
      <c r="DC14" s="206">
        <v>0</v>
      </c>
      <c r="DD14" s="206">
        <v>442057010.64999998</v>
      </c>
      <c r="DE14" s="206">
        <v>0</v>
      </c>
      <c r="DF14" s="206">
        <v>19560074.899999999</v>
      </c>
      <c r="DG14" s="207">
        <f t="shared" si="48"/>
        <v>461617.08554999996</v>
      </c>
      <c r="DH14" s="211">
        <f t="shared" si="18"/>
        <v>561808.4166</v>
      </c>
      <c r="DI14" s="211">
        <f t="shared" si="19"/>
        <v>441969.01064999995</v>
      </c>
      <c r="DJ14" s="207">
        <f t="shared" si="49"/>
        <v>78.668990636478114</v>
      </c>
      <c r="DK14" s="206">
        <v>43200905.32</v>
      </c>
      <c r="DL14" s="207">
        <f t="shared" si="50"/>
        <v>43200.905319999998</v>
      </c>
      <c r="DM14" s="206">
        <v>30237636.25</v>
      </c>
      <c r="DN14" s="207">
        <f t="shared" si="50"/>
        <v>30237.63625</v>
      </c>
      <c r="DO14" s="210">
        <v>65841.88</v>
      </c>
      <c r="DP14" s="207">
        <f t="shared" si="50"/>
        <v>65.841880000000003</v>
      </c>
      <c r="DQ14" s="210">
        <v>42419.360000000001</v>
      </c>
      <c r="DR14" s="207">
        <f t="shared" si="50"/>
        <v>42.419359999999998</v>
      </c>
      <c r="DS14" s="207">
        <f t="shared" si="51"/>
        <v>-23.422520000000006</v>
      </c>
      <c r="DT14" s="207">
        <v>12095.74473</v>
      </c>
      <c r="DU14" s="207">
        <v>2428.0206000000003</v>
      </c>
      <c r="DV14" s="207">
        <v>15607.9246</v>
      </c>
      <c r="DW14" s="207">
        <v>5448.9587000000001</v>
      </c>
      <c r="DX14" s="207">
        <f t="shared" si="52"/>
        <v>3512.1798699999999</v>
      </c>
      <c r="DY14" s="207">
        <f t="shared" si="53"/>
        <v>3020.9380999999998</v>
      </c>
    </row>
    <row r="15" spans="1:129" s="207" customFormat="1" x14ac:dyDescent="0.25">
      <c r="A15" s="205" t="s">
        <v>171</v>
      </c>
      <c r="B15" s="206">
        <v>0</v>
      </c>
      <c r="C15" s="206">
        <v>477716970.66000003</v>
      </c>
      <c r="D15" s="206">
        <v>32173859.870000001</v>
      </c>
      <c r="E15" s="206">
        <v>15019567.619999999</v>
      </c>
      <c r="F15" s="207">
        <f t="shared" si="20"/>
        <v>524910.39815000002</v>
      </c>
      <c r="G15" s="206">
        <v>0</v>
      </c>
      <c r="H15" s="206">
        <v>359916806.75999999</v>
      </c>
      <c r="I15" s="206">
        <v>22010312.829999998</v>
      </c>
      <c r="J15" s="206">
        <v>8495622.4299999997</v>
      </c>
      <c r="K15" s="207">
        <f t="shared" si="0"/>
        <v>390422.74202000001</v>
      </c>
      <c r="L15" s="206">
        <v>15818600</v>
      </c>
      <c r="M15" s="206">
        <v>27178</v>
      </c>
      <c r="N15" s="206">
        <v>850000</v>
      </c>
      <c r="O15" s="207">
        <f t="shared" si="21"/>
        <v>16695.777999999998</v>
      </c>
      <c r="P15" s="206">
        <v>10173082.609999999</v>
      </c>
      <c r="Q15" s="206">
        <v>0</v>
      </c>
      <c r="R15" s="206">
        <v>510000</v>
      </c>
      <c r="S15" s="207">
        <f t="shared" si="22"/>
        <v>10683.082609999999</v>
      </c>
      <c r="T15" s="206">
        <v>0</v>
      </c>
      <c r="U15" s="206">
        <v>498296001.92000002</v>
      </c>
      <c r="V15" s="206">
        <v>36036080.729999997</v>
      </c>
      <c r="W15" s="206">
        <v>15279661.33</v>
      </c>
      <c r="X15" s="207">
        <f t="shared" si="1"/>
        <v>549611.74398000003</v>
      </c>
      <c r="Y15" s="206">
        <v>0</v>
      </c>
      <c r="Z15" s="206">
        <v>374950822.67000002</v>
      </c>
      <c r="AA15" s="206">
        <v>21786616.129999999</v>
      </c>
      <c r="AB15" s="206">
        <v>8437477.9199999999</v>
      </c>
      <c r="AC15" s="207">
        <f t="shared" si="23"/>
        <v>405174.91672000004</v>
      </c>
      <c r="AD15" s="207">
        <f t="shared" si="2"/>
        <v>508214.62015000003</v>
      </c>
      <c r="AE15" s="207">
        <f t="shared" si="3"/>
        <v>379739.65941000002</v>
      </c>
      <c r="AF15" s="207">
        <f t="shared" si="24"/>
        <v>74.720333566539168</v>
      </c>
      <c r="AG15" s="208">
        <v>508215</v>
      </c>
      <c r="AH15" s="208">
        <f t="shared" si="25"/>
        <v>0.37984999996842816</v>
      </c>
      <c r="AI15" s="208">
        <v>379740</v>
      </c>
      <c r="AJ15" s="208">
        <f t="shared" si="26"/>
        <v>0.34058999997796491</v>
      </c>
      <c r="AK15" s="207">
        <f t="shared" si="4"/>
        <v>532915.96597999998</v>
      </c>
      <c r="AL15" s="207">
        <f t="shared" si="5"/>
        <v>394491.83411000005</v>
      </c>
      <c r="AM15" s="207">
        <f t="shared" si="27"/>
        <v>74.025148296045813</v>
      </c>
      <c r="AN15" s="206">
        <v>0</v>
      </c>
      <c r="AO15" s="206">
        <v>386535518.80000001</v>
      </c>
      <c r="AP15" s="206">
        <v>8271328</v>
      </c>
      <c r="AQ15" s="206">
        <v>7547272</v>
      </c>
      <c r="AR15" s="209">
        <f t="shared" si="6"/>
        <v>0</v>
      </c>
      <c r="AS15" s="207">
        <f t="shared" si="28"/>
        <v>402354.1188</v>
      </c>
      <c r="AT15" s="206">
        <v>0</v>
      </c>
      <c r="AU15" s="206">
        <v>291834690.26999998</v>
      </c>
      <c r="AV15" s="206">
        <v>5320520</v>
      </c>
      <c r="AW15" s="206">
        <v>4852562.6100000003</v>
      </c>
      <c r="AX15" s="209">
        <f t="shared" si="7"/>
        <v>0</v>
      </c>
      <c r="AY15" s="207">
        <f t="shared" si="29"/>
        <v>302007.77288</v>
      </c>
      <c r="AZ15" s="207">
        <f t="shared" si="8"/>
        <v>385658.34080000001</v>
      </c>
      <c r="BA15" s="207">
        <f t="shared" si="9"/>
        <v>291324.69027000002</v>
      </c>
      <c r="BB15" s="207">
        <f t="shared" si="30"/>
        <v>75.539579843050561</v>
      </c>
      <c r="BC15" s="206">
        <v>0</v>
      </c>
      <c r="BD15" s="206">
        <v>91008837.519999996</v>
      </c>
      <c r="BE15" s="206">
        <v>23674973.420000002</v>
      </c>
      <c r="BF15" s="206">
        <v>7370548.6900000004</v>
      </c>
      <c r="BG15" s="207">
        <f t="shared" si="31"/>
        <v>122054.35962999999</v>
      </c>
      <c r="BH15" s="206">
        <v>0</v>
      </c>
      <c r="BI15" s="206">
        <v>68050532.150000006</v>
      </c>
      <c r="BJ15" s="206">
        <v>16462234.380000001</v>
      </c>
      <c r="BK15" s="206">
        <v>3541312.89</v>
      </c>
      <c r="BL15" s="207">
        <f t="shared" si="32"/>
        <v>88054.079419999995</v>
      </c>
      <c r="BM15" s="210">
        <v>8731000</v>
      </c>
      <c r="BN15" s="207">
        <f t="shared" si="33"/>
        <v>8731</v>
      </c>
      <c r="BO15" s="210">
        <v>7328185.2199999997</v>
      </c>
      <c r="BP15" s="207">
        <f t="shared" si="34"/>
        <v>7328.1852199999994</v>
      </c>
      <c r="BQ15" s="207">
        <f t="shared" si="10"/>
        <v>83.932942618256774</v>
      </c>
      <c r="BR15" s="210">
        <v>309400</v>
      </c>
      <c r="BS15" s="207">
        <f t="shared" si="35"/>
        <v>309.39999999999998</v>
      </c>
      <c r="BT15" s="375">
        <v>902649.56</v>
      </c>
      <c r="BU15" s="207">
        <f t="shared" si="36"/>
        <v>902.64956000000006</v>
      </c>
      <c r="BV15" s="207">
        <f t="shared" si="11"/>
        <v>291.7419392372334</v>
      </c>
      <c r="BW15" s="210">
        <v>9289000</v>
      </c>
      <c r="BX15" s="207">
        <f t="shared" si="37"/>
        <v>9289</v>
      </c>
      <c r="BY15" s="210">
        <v>2398279.59</v>
      </c>
      <c r="BZ15" s="207">
        <f t="shared" si="38"/>
        <v>2398.2795899999996</v>
      </c>
      <c r="CA15" s="210">
        <v>2532000.33</v>
      </c>
      <c r="CB15" s="207">
        <f t="shared" si="39"/>
        <v>2532.0003299999998</v>
      </c>
      <c r="CC15" s="207">
        <f t="shared" si="12"/>
        <v>27.258050705135105</v>
      </c>
      <c r="CD15" s="207">
        <f t="shared" si="40"/>
        <v>133.72074000000021</v>
      </c>
      <c r="CE15" s="207">
        <f t="shared" si="41"/>
        <v>5.57569436681068</v>
      </c>
      <c r="CF15" s="210">
        <v>9614400</v>
      </c>
      <c r="CG15" s="207">
        <f t="shared" si="42"/>
        <v>9614.4</v>
      </c>
      <c r="CH15" s="210">
        <v>7678436.8700000001</v>
      </c>
      <c r="CI15" s="207">
        <f t="shared" si="43"/>
        <v>7678.4368700000005</v>
      </c>
      <c r="CJ15" s="207">
        <f t="shared" si="13"/>
        <v>79.863921513563</v>
      </c>
      <c r="CK15" s="207">
        <v>16135.272720000001</v>
      </c>
      <c r="CL15" s="207">
        <v>548.24193000000002</v>
      </c>
      <c r="CM15" s="210">
        <v>25092167.870000001</v>
      </c>
      <c r="CN15" s="207">
        <f t="shared" si="44"/>
        <v>25092.167870000001</v>
      </c>
      <c r="CO15" s="210">
        <v>187035.34</v>
      </c>
      <c r="CP15" s="207">
        <f t="shared" si="45"/>
        <v>187.03533999999999</v>
      </c>
      <c r="CQ15" s="207">
        <f t="shared" si="14"/>
        <v>8956.8951500000003</v>
      </c>
      <c r="CR15" s="207">
        <f t="shared" si="15"/>
        <v>-361.20659000000001</v>
      </c>
      <c r="CS15" s="207">
        <f t="shared" si="16"/>
        <v>-24701.345829999947</v>
      </c>
      <c r="CT15" s="207">
        <f t="shared" si="17"/>
        <v>-14752.174700000032</v>
      </c>
      <c r="CU15" s="207">
        <v>16144.1</v>
      </c>
      <c r="CV15" s="207">
        <v>18144.099999999999</v>
      </c>
      <c r="CW15" s="207">
        <f t="shared" si="46"/>
        <v>1999.9999999999982</v>
      </c>
      <c r="CX15" s="206">
        <v>0</v>
      </c>
      <c r="CY15" s="206">
        <v>386708133.13999999</v>
      </c>
      <c r="CZ15" s="206">
        <v>8498886.4499999993</v>
      </c>
      <c r="DA15" s="206">
        <v>7649018.9299999997</v>
      </c>
      <c r="DB15" s="207">
        <f t="shared" si="47"/>
        <v>402856.03852</v>
      </c>
      <c r="DC15" s="206">
        <v>0</v>
      </c>
      <c r="DD15" s="206">
        <v>291866274.61000001</v>
      </c>
      <c r="DE15" s="206">
        <v>5548078.4500000002</v>
      </c>
      <c r="DF15" s="206">
        <v>4954309.54</v>
      </c>
      <c r="DG15" s="207">
        <f t="shared" si="48"/>
        <v>302368.66260000004</v>
      </c>
      <c r="DH15" s="211">
        <f t="shared" si="18"/>
        <v>386160.26052000001</v>
      </c>
      <c r="DI15" s="211">
        <f t="shared" si="19"/>
        <v>291685.57999000006</v>
      </c>
      <c r="DJ15" s="207">
        <f t="shared" si="49"/>
        <v>75.534851669412802</v>
      </c>
      <c r="DK15" s="206">
        <v>81879906.689999998</v>
      </c>
      <c r="DL15" s="207">
        <f t="shared" si="50"/>
        <v>81879.906690000003</v>
      </c>
      <c r="DM15" s="206">
        <v>61531241.289999999</v>
      </c>
      <c r="DN15" s="207">
        <f t="shared" si="50"/>
        <v>61531.241289999998</v>
      </c>
      <c r="DO15" s="210">
        <v>33107.19</v>
      </c>
      <c r="DP15" s="207">
        <f t="shared" si="50"/>
        <v>33.107190000000003</v>
      </c>
      <c r="DQ15" s="210">
        <v>23531</v>
      </c>
      <c r="DR15" s="207">
        <f t="shared" si="50"/>
        <v>23.530999999999999</v>
      </c>
      <c r="DS15" s="207">
        <f t="shared" si="51"/>
        <v>-9.576190000000004</v>
      </c>
      <c r="DT15" s="207">
        <v>4680.6187900000004</v>
      </c>
      <c r="DU15" s="207">
        <v>106.10716000000001</v>
      </c>
      <c r="DV15" s="207">
        <v>30139.6155</v>
      </c>
      <c r="DW15" s="207">
        <v>22176.072700000001</v>
      </c>
      <c r="DX15" s="207">
        <f t="shared" si="52"/>
        <v>25458.996709999999</v>
      </c>
      <c r="DY15" s="207">
        <f t="shared" si="53"/>
        <v>22069.965540000001</v>
      </c>
    </row>
    <row r="16" spans="1:129" s="207" customFormat="1" x14ac:dyDescent="0.25">
      <c r="A16" s="205" t="s">
        <v>172</v>
      </c>
      <c r="B16" s="206">
        <v>0</v>
      </c>
      <c r="C16" s="206">
        <v>357871510.62</v>
      </c>
      <c r="D16" s="206">
        <v>0</v>
      </c>
      <c r="E16" s="206">
        <v>39157077.359999999</v>
      </c>
      <c r="F16" s="207">
        <f t="shared" si="20"/>
        <v>397028.58798000001</v>
      </c>
      <c r="G16" s="206">
        <v>0</v>
      </c>
      <c r="H16" s="206">
        <v>271021532.39999998</v>
      </c>
      <c r="I16" s="206">
        <v>0</v>
      </c>
      <c r="J16" s="206">
        <v>26387738.890000001</v>
      </c>
      <c r="K16" s="207">
        <f t="shared" si="0"/>
        <v>297409.27128999995</v>
      </c>
      <c r="L16" s="206">
        <v>33770100</v>
      </c>
      <c r="M16" s="206">
        <v>0</v>
      </c>
      <c r="N16" s="206">
        <v>3141000</v>
      </c>
      <c r="O16" s="207">
        <f t="shared" si="21"/>
        <v>36911.1</v>
      </c>
      <c r="P16" s="206">
        <v>21589947.800000001</v>
      </c>
      <c r="Q16" s="206">
        <v>0</v>
      </c>
      <c r="R16" s="206">
        <v>2275000</v>
      </c>
      <c r="S16" s="207">
        <f t="shared" si="22"/>
        <v>23864.947800000002</v>
      </c>
      <c r="T16" s="206">
        <v>0</v>
      </c>
      <c r="U16" s="206">
        <v>362342888.57999998</v>
      </c>
      <c r="V16" s="206">
        <v>0</v>
      </c>
      <c r="W16" s="206">
        <v>40192856.840000004</v>
      </c>
      <c r="X16" s="207">
        <f t="shared" si="1"/>
        <v>402535.74541999993</v>
      </c>
      <c r="Y16" s="206">
        <v>0</v>
      </c>
      <c r="Z16" s="206">
        <v>276119460.57999998</v>
      </c>
      <c r="AA16" s="206">
        <v>0</v>
      </c>
      <c r="AB16" s="206">
        <v>25794174.359999999</v>
      </c>
      <c r="AC16" s="207">
        <f t="shared" si="23"/>
        <v>301913.63494000002</v>
      </c>
      <c r="AD16" s="207">
        <f t="shared" si="2"/>
        <v>360117.48798000003</v>
      </c>
      <c r="AE16" s="207">
        <f t="shared" si="3"/>
        <v>273544.32348999992</v>
      </c>
      <c r="AF16" s="207">
        <f t="shared" si="24"/>
        <v>75.959744422406899</v>
      </c>
      <c r="AG16" s="208">
        <v>360117</v>
      </c>
      <c r="AH16" s="208">
        <f t="shared" si="25"/>
        <v>-0.48798000003444031</v>
      </c>
      <c r="AI16" s="208">
        <v>273544</v>
      </c>
      <c r="AJ16" s="208">
        <f t="shared" si="26"/>
        <v>-0.32348999992245808</v>
      </c>
      <c r="AK16" s="207">
        <f t="shared" si="4"/>
        <v>365624.64541999996</v>
      </c>
      <c r="AL16" s="207">
        <f t="shared" si="5"/>
        <v>278048.68713999999</v>
      </c>
      <c r="AM16" s="207">
        <f t="shared" si="27"/>
        <v>76.047577925333826</v>
      </c>
      <c r="AN16" s="206">
        <v>0</v>
      </c>
      <c r="AO16" s="206">
        <v>311409300.23000002</v>
      </c>
      <c r="AP16" s="206">
        <v>0</v>
      </c>
      <c r="AQ16" s="206">
        <v>33770100</v>
      </c>
      <c r="AR16" s="209">
        <f t="shared" si="6"/>
        <v>0</v>
      </c>
      <c r="AS16" s="207">
        <f t="shared" si="28"/>
        <v>345179.40023000003</v>
      </c>
      <c r="AT16" s="206">
        <v>0</v>
      </c>
      <c r="AU16" s="206">
        <v>238822911.72</v>
      </c>
      <c r="AV16" s="206">
        <v>0</v>
      </c>
      <c r="AW16" s="206">
        <v>21589947.800000001</v>
      </c>
      <c r="AX16" s="209">
        <f t="shared" si="7"/>
        <v>0</v>
      </c>
      <c r="AY16" s="207">
        <f t="shared" si="29"/>
        <v>260412.85952</v>
      </c>
      <c r="AZ16" s="207">
        <f t="shared" si="8"/>
        <v>308268.30023000005</v>
      </c>
      <c r="BA16" s="207">
        <f t="shared" si="9"/>
        <v>236547.91172</v>
      </c>
      <c r="BB16" s="207">
        <f t="shared" si="30"/>
        <v>76.734426323923273</v>
      </c>
      <c r="BC16" s="206">
        <v>0</v>
      </c>
      <c r="BD16" s="206">
        <v>46462000</v>
      </c>
      <c r="BE16" s="206">
        <v>0</v>
      </c>
      <c r="BF16" s="206">
        <v>5424900</v>
      </c>
      <c r="BG16" s="207">
        <f t="shared" si="31"/>
        <v>51886.9</v>
      </c>
      <c r="BH16" s="206">
        <v>0</v>
      </c>
      <c r="BI16" s="206">
        <v>32198410.289999999</v>
      </c>
      <c r="BJ16" s="206">
        <v>0</v>
      </c>
      <c r="BK16" s="206">
        <v>4835713.7300000004</v>
      </c>
      <c r="BL16" s="207">
        <f t="shared" si="32"/>
        <v>37034.124019999996</v>
      </c>
      <c r="BM16" s="210">
        <v>3581500</v>
      </c>
      <c r="BN16" s="207">
        <f t="shared" si="33"/>
        <v>3581.5</v>
      </c>
      <c r="BO16" s="210">
        <v>2297192.6</v>
      </c>
      <c r="BP16" s="207">
        <f t="shared" si="34"/>
        <v>2297.1926000000003</v>
      </c>
      <c r="BQ16" s="207">
        <f t="shared" si="10"/>
        <v>64.140516543347772</v>
      </c>
      <c r="BR16" s="210">
        <v>357000</v>
      </c>
      <c r="BS16" s="207">
        <f t="shared" si="35"/>
        <v>357</v>
      </c>
      <c r="BT16" s="375">
        <v>640256.98</v>
      </c>
      <c r="BU16" s="207">
        <f t="shared" si="36"/>
        <v>640.25698</v>
      </c>
      <c r="BV16" s="207">
        <f t="shared" si="11"/>
        <v>179.34369187675071</v>
      </c>
      <c r="BW16" s="210">
        <v>1080700</v>
      </c>
      <c r="BX16" s="207">
        <f t="shared" si="37"/>
        <v>1080.7</v>
      </c>
      <c r="BY16" s="210">
        <v>158336.76999999999</v>
      </c>
      <c r="BZ16" s="207">
        <f t="shared" si="38"/>
        <v>158.33677</v>
      </c>
      <c r="CA16" s="210">
        <v>722886.38</v>
      </c>
      <c r="CB16" s="207">
        <f t="shared" si="39"/>
        <v>722.88638000000003</v>
      </c>
      <c r="CC16" s="207">
        <f t="shared" si="12"/>
        <v>66.890569075599146</v>
      </c>
      <c r="CD16" s="207">
        <f t="shared" si="40"/>
        <v>564.54961000000003</v>
      </c>
      <c r="CE16" s="207">
        <f t="shared" si="41"/>
        <v>356.54990941143996</v>
      </c>
      <c r="CF16" s="210">
        <v>9134000</v>
      </c>
      <c r="CG16" s="207">
        <f t="shared" si="42"/>
        <v>9134</v>
      </c>
      <c r="CH16" s="210">
        <v>7935353.6799999997</v>
      </c>
      <c r="CI16" s="207">
        <f t="shared" si="43"/>
        <v>7935.3536799999993</v>
      </c>
      <c r="CJ16" s="207">
        <f t="shared" si="13"/>
        <v>86.877093058900797</v>
      </c>
      <c r="CK16" s="207">
        <v>1507.15744</v>
      </c>
      <c r="CL16" s="207">
        <v>37.712249999999997</v>
      </c>
      <c r="CM16" s="210">
        <v>14084890.98</v>
      </c>
      <c r="CN16" s="207">
        <f t="shared" si="44"/>
        <v>14084.89098</v>
      </c>
      <c r="CO16" s="210">
        <v>216998.49</v>
      </c>
      <c r="CP16" s="207">
        <f t="shared" si="45"/>
        <v>216.99849</v>
      </c>
      <c r="CQ16" s="207">
        <f t="shared" si="14"/>
        <v>12577.733540000001</v>
      </c>
      <c r="CR16" s="207">
        <f t="shared" si="15"/>
        <v>179.28624000000002</v>
      </c>
      <c r="CS16" s="207">
        <f t="shared" si="16"/>
        <v>-5507.1574399999226</v>
      </c>
      <c r="CT16" s="207">
        <f t="shared" si="17"/>
        <v>-4504.3636500000721</v>
      </c>
      <c r="CU16" s="207">
        <v>4300</v>
      </c>
      <c r="CV16" s="207">
        <v>6600</v>
      </c>
      <c r="CW16" s="207">
        <f t="shared" si="46"/>
        <v>2300</v>
      </c>
      <c r="CX16" s="206">
        <v>0</v>
      </c>
      <c r="CY16" s="206">
        <v>311409510.62</v>
      </c>
      <c r="CZ16" s="206">
        <v>0</v>
      </c>
      <c r="DA16" s="206">
        <v>33732177.359999999</v>
      </c>
      <c r="DB16" s="207">
        <f t="shared" si="47"/>
        <v>345141.68798000005</v>
      </c>
      <c r="DC16" s="206">
        <v>0</v>
      </c>
      <c r="DD16" s="206">
        <v>238823122.11000001</v>
      </c>
      <c r="DE16" s="206">
        <v>0</v>
      </c>
      <c r="DF16" s="206">
        <v>21552025.16</v>
      </c>
      <c r="DG16" s="207">
        <f t="shared" si="48"/>
        <v>260375.14727000002</v>
      </c>
      <c r="DH16" s="211">
        <f t="shared" si="18"/>
        <v>308230.58798000007</v>
      </c>
      <c r="DI16" s="211">
        <f t="shared" si="19"/>
        <v>236510.19947000002</v>
      </c>
      <c r="DJ16" s="207">
        <f t="shared" si="49"/>
        <v>76.731579763052679</v>
      </c>
      <c r="DK16" s="206">
        <v>31485600</v>
      </c>
      <c r="DL16" s="207">
        <f t="shared" si="50"/>
        <v>31485.599999999999</v>
      </c>
      <c r="DM16" s="206">
        <v>21070772.149999999</v>
      </c>
      <c r="DN16" s="207">
        <f t="shared" si="50"/>
        <v>21070.772149999997</v>
      </c>
      <c r="DO16" s="210">
        <v>0</v>
      </c>
      <c r="DP16" s="207">
        <f t="shared" si="50"/>
        <v>0</v>
      </c>
      <c r="DQ16" s="210">
        <v>0</v>
      </c>
      <c r="DR16" s="207">
        <f t="shared" si="50"/>
        <v>0</v>
      </c>
      <c r="DS16" s="207">
        <f t="shared" si="51"/>
        <v>0</v>
      </c>
      <c r="DT16" s="207">
        <v>8752.375970000001</v>
      </c>
      <c r="DU16" s="207">
        <v>4370.4796399999996</v>
      </c>
      <c r="DV16" s="207">
        <v>7096.6418000000003</v>
      </c>
      <c r="DW16" s="207">
        <v>3125.6142</v>
      </c>
      <c r="DX16" s="207">
        <f t="shared" si="52"/>
        <v>-1655.7341700000006</v>
      </c>
      <c r="DY16" s="207">
        <f t="shared" si="53"/>
        <v>-1244.8654399999996</v>
      </c>
    </row>
    <row r="17" spans="1:129" s="207" customFormat="1" x14ac:dyDescent="0.25">
      <c r="A17" s="205" t="s">
        <v>173</v>
      </c>
      <c r="B17" s="206">
        <v>0</v>
      </c>
      <c r="C17" s="206">
        <v>468063741.75</v>
      </c>
      <c r="D17" s="206">
        <v>37907401.539999999</v>
      </c>
      <c r="E17" s="206">
        <v>46552745.25</v>
      </c>
      <c r="F17" s="207">
        <f t="shared" si="20"/>
        <v>552523.88853999996</v>
      </c>
      <c r="G17" s="206">
        <v>0</v>
      </c>
      <c r="H17" s="206">
        <v>333395022.29000002</v>
      </c>
      <c r="I17" s="206">
        <v>22719628.149999999</v>
      </c>
      <c r="J17" s="206">
        <v>35603303.990000002</v>
      </c>
      <c r="K17" s="207">
        <f t="shared" si="0"/>
        <v>391717.95442999998</v>
      </c>
      <c r="L17" s="206">
        <v>50802761.890000001</v>
      </c>
      <c r="M17" s="206">
        <v>134465</v>
      </c>
      <c r="N17" s="206">
        <v>5138000</v>
      </c>
      <c r="O17" s="207">
        <f t="shared" si="21"/>
        <v>56075.226889999998</v>
      </c>
      <c r="P17" s="206">
        <v>32911340.890000001</v>
      </c>
      <c r="Q17" s="206">
        <v>100815</v>
      </c>
      <c r="R17" s="206">
        <v>3293125</v>
      </c>
      <c r="S17" s="207">
        <f t="shared" si="22"/>
        <v>36305.280890000002</v>
      </c>
      <c r="T17" s="206">
        <v>0</v>
      </c>
      <c r="U17" s="206">
        <v>493649974.81999999</v>
      </c>
      <c r="V17" s="206">
        <v>38460572.619999997</v>
      </c>
      <c r="W17" s="206">
        <v>49915704.869999997</v>
      </c>
      <c r="X17" s="207">
        <f t="shared" si="1"/>
        <v>582026.25230999989</v>
      </c>
      <c r="Y17" s="206">
        <v>0</v>
      </c>
      <c r="Z17" s="206">
        <v>350299699.18000001</v>
      </c>
      <c r="AA17" s="206">
        <v>22812448.390000001</v>
      </c>
      <c r="AB17" s="206">
        <v>34045253.020000003</v>
      </c>
      <c r="AC17" s="207">
        <f t="shared" si="23"/>
        <v>407157.40058999998</v>
      </c>
      <c r="AD17" s="207">
        <f t="shared" si="2"/>
        <v>496448.66164999997</v>
      </c>
      <c r="AE17" s="207">
        <f t="shared" si="3"/>
        <v>355412.67353999999</v>
      </c>
      <c r="AF17" s="207">
        <f t="shared" si="24"/>
        <v>71.591022596122656</v>
      </c>
      <c r="AG17" s="208">
        <v>496494</v>
      </c>
      <c r="AH17" s="208">
        <f t="shared" si="25"/>
        <v>45.338350000034552</v>
      </c>
      <c r="AI17" s="208">
        <v>355413</v>
      </c>
      <c r="AJ17" s="208">
        <f t="shared" si="26"/>
        <v>0.32646000001113862</v>
      </c>
      <c r="AK17" s="207">
        <f t="shared" si="4"/>
        <v>525951.02541999985</v>
      </c>
      <c r="AL17" s="207">
        <f t="shared" si="5"/>
        <v>370852.11969999998</v>
      </c>
      <c r="AM17" s="207">
        <f t="shared" si="27"/>
        <v>70.510770352402076</v>
      </c>
      <c r="AN17" s="206">
        <v>0</v>
      </c>
      <c r="AO17" s="206">
        <v>305954692.30000001</v>
      </c>
      <c r="AP17" s="206">
        <v>17817446.079999998</v>
      </c>
      <c r="AQ17" s="206">
        <v>32940315.809999999</v>
      </c>
      <c r="AR17" s="209">
        <f t="shared" si="6"/>
        <v>45000</v>
      </c>
      <c r="AS17" s="207">
        <f t="shared" si="28"/>
        <v>356712.45419000002</v>
      </c>
      <c r="AT17" s="206">
        <v>0</v>
      </c>
      <c r="AU17" s="206">
        <v>230362071.15000001</v>
      </c>
      <c r="AV17" s="206">
        <v>10144632.08</v>
      </c>
      <c r="AW17" s="206">
        <v>22766708.809999999</v>
      </c>
      <c r="AX17" s="209">
        <f t="shared" si="7"/>
        <v>0</v>
      </c>
      <c r="AY17" s="207">
        <f t="shared" si="29"/>
        <v>263273.41204000002</v>
      </c>
      <c r="AZ17" s="207">
        <f t="shared" si="8"/>
        <v>300637.22730000003</v>
      </c>
      <c r="BA17" s="207">
        <f t="shared" si="9"/>
        <v>226968.13115000003</v>
      </c>
      <c r="BB17" s="207">
        <f t="shared" si="30"/>
        <v>75.495684013714296</v>
      </c>
      <c r="BC17" s="206">
        <v>0</v>
      </c>
      <c r="BD17" s="206">
        <v>161049169</v>
      </c>
      <c r="BE17" s="206">
        <v>20040451</v>
      </c>
      <c r="BF17" s="206">
        <v>13456830</v>
      </c>
      <c r="BG17" s="207">
        <f t="shared" si="31"/>
        <v>194546.45</v>
      </c>
      <c r="BH17" s="206">
        <v>0</v>
      </c>
      <c r="BI17" s="206">
        <v>101973070.69</v>
      </c>
      <c r="BJ17" s="206">
        <v>12525491.609999999</v>
      </c>
      <c r="BK17" s="206">
        <v>12680995.74</v>
      </c>
      <c r="BL17" s="207">
        <f t="shared" si="32"/>
        <v>127179.55803999999</v>
      </c>
      <c r="BM17" s="210">
        <v>31597074</v>
      </c>
      <c r="BN17" s="207">
        <f t="shared" si="33"/>
        <v>31597.074000000001</v>
      </c>
      <c r="BO17" s="210">
        <v>33293443.989999998</v>
      </c>
      <c r="BP17" s="207">
        <f t="shared" si="34"/>
        <v>33293.44399</v>
      </c>
      <c r="BQ17" s="207">
        <f t="shared" si="10"/>
        <v>105.36875658170121</v>
      </c>
      <c r="BR17" s="210">
        <v>886500</v>
      </c>
      <c r="BS17" s="207">
        <f t="shared" si="35"/>
        <v>886.5</v>
      </c>
      <c r="BT17" s="375">
        <v>443674.09</v>
      </c>
      <c r="BU17" s="207">
        <f t="shared" si="36"/>
        <v>443.67409000000004</v>
      </c>
      <c r="BV17" s="207">
        <f t="shared" si="11"/>
        <v>50.047838691483364</v>
      </c>
      <c r="BW17" s="210">
        <v>3190800</v>
      </c>
      <c r="BX17" s="207">
        <f t="shared" si="37"/>
        <v>3190.8</v>
      </c>
      <c r="BY17" s="210">
        <v>1151501.6499999999</v>
      </c>
      <c r="BZ17" s="207">
        <f t="shared" si="38"/>
        <v>1151.5016499999999</v>
      </c>
      <c r="CA17" s="210">
        <v>734959.68</v>
      </c>
      <c r="CB17" s="207">
        <f t="shared" si="39"/>
        <v>734.95968000000005</v>
      </c>
      <c r="CC17" s="207">
        <f t="shared" si="12"/>
        <v>23.033711921775105</v>
      </c>
      <c r="CD17" s="207">
        <f t="shared" si="40"/>
        <v>-416.54196999999988</v>
      </c>
      <c r="CE17" s="207">
        <f t="shared" si="41"/>
        <v>-36.173805743135489</v>
      </c>
      <c r="CF17" s="210">
        <v>17194000</v>
      </c>
      <c r="CG17" s="207">
        <f t="shared" si="42"/>
        <v>17194</v>
      </c>
      <c r="CH17" s="210">
        <v>11286299.800000001</v>
      </c>
      <c r="CI17" s="207">
        <f t="shared" si="43"/>
        <v>11286.299800000001</v>
      </c>
      <c r="CJ17" s="207">
        <f t="shared" si="13"/>
        <v>65.640920088402936</v>
      </c>
      <c r="CK17" s="207">
        <v>17356.646530000002</v>
      </c>
      <c r="CL17" s="207">
        <v>1640.88933</v>
      </c>
      <c r="CM17" s="210">
        <v>18630753.07</v>
      </c>
      <c r="CN17" s="207">
        <f t="shared" si="44"/>
        <v>18630.753069999999</v>
      </c>
      <c r="CO17" s="210">
        <v>1096204.27</v>
      </c>
      <c r="CP17" s="207">
        <f t="shared" si="45"/>
        <v>1096.20427</v>
      </c>
      <c r="CQ17" s="207">
        <f t="shared" si="14"/>
        <v>1274.106539999997</v>
      </c>
      <c r="CR17" s="207">
        <f t="shared" si="15"/>
        <v>-544.68506000000002</v>
      </c>
      <c r="CS17" s="207">
        <f t="shared" si="16"/>
        <v>-29502.36376999988</v>
      </c>
      <c r="CT17" s="207">
        <f t="shared" si="17"/>
        <v>-15439.446159999992</v>
      </c>
      <c r="CU17" s="207">
        <v>7000</v>
      </c>
      <c r="CV17" s="207">
        <v>16500</v>
      </c>
      <c r="CW17" s="207">
        <f t="shared" si="46"/>
        <v>9500</v>
      </c>
      <c r="CX17" s="206">
        <v>0</v>
      </c>
      <c r="CY17" s="206">
        <v>307014572.75</v>
      </c>
      <c r="CZ17" s="206">
        <v>17866950.539999999</v>
      </c>
      <c r="DA17" s="206">
        <v>33095915.25</v>
      </c>
      <c r="DB17" s="207">
        <f t="shared" si="47"/>
        <v>357977.43854</v>
      </c>
      <c r="DC17" s="206">
        <v>0</v>
      </c>
      <c r="DD17" s="206">
        <v>231421951.59999999</v>
      </c>
      <c r="DE17" s="206">
        <v>10194136.539999999</v>
      </c>
      <c r="DF17" s="206">
        <v>22922308.25</v>
      </c>
      <c r="DG17" s="207">
        <f t="shared" si="48"/>
        <v>264538.39639000001</v>
      </c>
      <c r="DH17" s="211">
        <f t="shared" si="18"/>
        <v>301902.21165000001</v>
      </c>
      <c r="DI17" s="211">
        <f t="shared" si="19"/>
        <v>228233.11550000001</v>
      </c>
      <c r="DJ17" s="207">
        <f t="shared" si="49"/>
        <v>75.598358240778396</v>
      </c>
      <c r="DK17" s="206">
        <v>104940600</v>
      </c>
      <c r="DL17" s="207">
        <f t="shared" si="50"/>
        <v>104940.6</v>
      </c>
      <c r="DM17" s="206">
        <v>70619601.200000003</v>
      </c>
      <c r="DN17" s="207">
        <f t="shared" si="50"/>
        <v>70619.601200000005</v>
      </c>
      <c r="DO17" s="210">
        <v>16774922.91</v>
      </c>
      <c r="DP17" s="207">
        <f t="shared" si="50"/>
        <v>16774.922910000001</v>
      </c>
      <c r="DQ17" s="210">
        <v>28849814.300000001</v>
      </c>
      <c r="DR17" s="207">
        <f t="shared" si="50"/>
        <v>28849.814300000002</v>
      </c>
      <c r="DS17" s="207">
        <f t="shared" si="51"/>
        <v>12074.891390000001</v>
      </c>
      <c r="DT17" s="207">
        <v>17270.700129999997</v>
      </c>
      <c r="DU17" s="207">
        <v>8421.4002300000011</v>
      </c>
      <c r="DV17" s="207">
        <v>31264.256399999998</v>
      </c>
      <c r="DW17" s="207">
        <v>14845.8199</v>
      </c>
      <c r="DX17" s="207">
        <f t="shared" si="52"/>
        <v>13993.556270000001</v>
      </c>
      <c r="DY17" s="207">
        <f t="shared" si="53"/>
        <v>6424.4196699999993</v>
      </c>
    </row>
    <row r="18" spans="1:129" s="207" customFormat="1" x14ac:dyDescent="0.25">
      <c r="A18" s="205" t="s">
        <v>174</v>
      </c>
      <c r="B18" s="206">
        <v>0</v>
      </c>
      <c r="C18" s="206">
        <v>665249177.00999999</v>
      </c>
      <c r="D18" s="206">
        <v>97601754.099999994</v>
      </c>
      <c r="E18" s="206">
        <v>9745907</v>
      </c>
      <c r="F18" s="207">
        <f t="shared" si="20"/>
        <v>772596.83811000001</v>
      </c>
      <c r="G18" s="206">
        <v>0</v>
      </c>
      <c r="H18" s="206">
        <v>481722108.19</v>
      </c>
      <c r="I18" s="206">
        <v>54697333.380000003</v>
      </c>
      <c r="J18" s="206">
        <v>6920746.1100000003</v>
      </c>
      <c r="K18" s="207">
        <f t="shared" si="0"/>
        <v>543340.18767999997</v>
      </c>
      <c r="L18" s="206">
        <v>19507974</v>
      </c>
      <c r="M18" s="206">
        <v>37093548</v>
      </c>
      <c r="N18" s="206">
        <v>93600</v>
      </c>
      <c r="O18" s="207">
        <f t="shared" si="21"/>
        <v>56695.122000000003</v>
      </c>
      <c r="P18" s="206">
        <v>11284821</v>
      </c>
      <c r="Q18" s="206">
        <v>26644114.530000001</v>
      </c>
      <c r="R18" s="206">
        <v>20700</v>
      </c>
      <c r="S18" s="207">
        <f t="shared" si="22"/>
        <v>37949.63553</v>
      </c>
      <c r="T18" s="206">
        <v>0</v>
      </c>
      <c r="U18" s="206">
        <v>684248493.14999998</v>
      </c>
      <c r="V18" s="206">
        <v>106033503.40000001</v>
      </c>
      <c r="W18" s="206">
        <v>10289959.09</v>
      </c>
      <c r="X18" s="207">
        <f t="shared" si="1"/>
        <v>800571.95563999994</v>
      </c>
      <c r="Y18" s="206">
        <v>0</v>
      </c>
      <c r="Z18" s="206">
        <v>486023628.06999999</v>
      </c>
      <c r="AA18" s="206">
        <v>59668844.770000003</v>
      </c>
      <c r="AB18" s="206">
        <v>6413902.6900000004</v>
      </c>
      <c r="AC18" s="207">
        <f t="shared" si="23"/>
        <v>552106.37553000008</v>
      </c>
      <c r="AD18" s="207">
        <f t="shared" si="2"/>
        <v>715901.71611000004</v>
      </c>
      <c r="AE18" s="207">
        <f t="shared" si="3"/>
        <v>505390.55215</v>
      </c>
      <c r="AF18" s="207">
        <f t="shared" si="24"/>
        <v>70.59496307623678</v>
      </c>
      <c r="AG18" s="208">
        <v>715911</v>
      </c>
      <c r="AH18" s="208">
        <f t="shared" si="25"/>
        <v>9.2838899999624118</v>
      </c>
      <c r="AI18" s="208">
        <v>505391</v>
      </c>
      <c r="AJ18" s="208">
        <f t="shared" si="26"/>
        <v>0.4478499999968335</v>
      </c>
      <c r="AK18" s="207">
        <f t="shared" si="4"/>
        <v>743876.83363999997</v>
      </c>
      <c r="AL18" s="207">
        <f t="shared" si="5"/>
        <v>514156.74000000011</v>
      </c>
      <c r="AM18" s="207">
        <f t="shared" si="27"/>
        <v>69.118531018648028</v>
      </c>
      <c r="AN18" s="206">
        <v>0</v>
      </c>
      <c r="AO18" s="206">
        <v>497571759.11000001</v>
      </c>
      <c r="AP18" s="206">
        <v>14976074</v>
      </c>
      <c r="AQ18" s="206">
        <v>4522900</v>
      </c>
      <c r="AR18" s="209">
        <f t="shared" si="6"/>
        <v>9000</v>
      </c>
      <c r="AS18" s="207">
        <f t="shared" si="28"/>
        <v>517070.73311000003</v>
      </c>
      <c r="AT18" s="206">
        <v>0</v>
      </c>
      <c r="AU18" s="206">
        <v>360521282</v>
      </c>
      <c r="AV18" s="206">
        <v>7393921</v>
      </c>
      <c r="AW18" s="206">
        <v>3890900</v>
      </c>
      <c r="AX18" s="209">
        <f t="shared" si="7"/>
        <v>0</v>
      </c>
      <c r="AY18" s="207">
        <f t="shared" si="29"/>
        <v>371806.103</v>
      </c>
      <c r="AZ18" s="207">
        <f t="shared" si="8"/>
        <v>460375.61111000006</v>
      </c>
      <c r="BA18" s="207">
        <f t="shared" si="9"/>
        <v>333856.46747000003</v>
      </c>
      <c r="BB18" s="207">
        <f t="shared" si="30"/>
        <v>72.518278425967679</v>
      </c>
      <c r="BC18" s="206">
        <v>0</v>
      </c>
      <c r="BD18" s="206">
        <v>167396000</v>
      </c>
      <c r="BE18" s="206">
        <v>82240000</v>
      </c>
      <c r="BF18" s="206">
        <v>5223007</v>
      </c>
      <c r="BG18" s="207">
        <f t="shared" si="31"/>
        <v>254859.00700000001</v>
      </c>
      <c r="BH18" s="206">
        <v>0</v>
      </c>
      <c r="BI18" s="206">
        <v>120919408.29000001</v>
      </c>
      <c r="BJ18" s="206">
        <v>46917732.280000001</v>
      </c>
      <c r="BK18" s="206">
        <v>3029846.11</v>
      </c>
      <c r="BL18" s="207">
        <f t="shared" si="32"/>
        <v>170866.98668</v>
      </c>
      <c r="BM18" s="210">
        <v>31044000</v>
      </c>
      <c r="BN18" s="207">
        <f t="shared" si="33"/>
        <v>31044</v>
      </c>
      <c r="BO18" s="210">
        <v>23081174.129999999</v>
      </c>
      <c r="BP18" s="207">
        <f t="shared" si="34"/>
        <v>23081.174129999999</v>
      </c>
      <c r="BQ18" s="207">
        <f t="shared" si="10"/>
        <v>74.349871569385385</v>
      </c>
      <c r="BR18" s="210">
        <v>3270000</v>
      </c>
      <c r="BS18" s="207">
        <f t="shared" si="35"/>
        <v>3270</v>
      </c>
      <c r="BT18" s="375">
        <v>2399545.77</v>
      </c>
      <c r="BU18" s="207">
        <f t="shared" si="36"/>
        <v>2399.5457700000002</v>
      </c>
      <c r="BV18" s="207">
        <f t="shared" si="11"/>
        <v>73.380604587155958</v>
      </c>
      <c r="BW18" s="210">
        <v>18823000</v>
      </c>
      <c r="BX18" s="207">
        <f t="shared" si="37"/>
        <v>18823</v>
      </c>
      <c r="BY18" s="210">
        <v>6350016.1600000001</v>
      </c>
      <c r="BZ18" s="207">
        <f t="shared" si="38"/>
        <v>6350.0161600000001</v>
      </c>
      <c r="CA18" s="210">
        <v>6220461.1699999999</v>
      </c>
      <c r="CB18" s="207">
        <f t="shared" si="39"/>
        <v>6220.4611699999996</v>
      </c>
      <c r="CC18" s="207">
        <f t="shared" si="12"/>
        <v>33.047129416139832</v>
      </c>
      <c r="CD18" s="207">
        <f t="shared" si="40"/>
        <v>-129.55499000000054</v>
      </c>
      <c r="CE18" s="207">
        <f t="shared" si="41"/>
        <v>-2.0402308708455337</v>
      </c>
      <c r="CF18" s="210">
        <v>37683607</v>
      </c>
      <c r="CG18" s="207">
        <f t="shared" si="42"/>
        <v>37683.607000000004</v>
      </c>
      <c r="CH18" s="210">
        <v>17525611.98</v>
      </c>
      <c r="CI18" s="207">
        <f t="shared" si="43"/>
        <v>17525.611980000001</v>
      </c>
      <c r="CJ18" s="207">
        <f t="shared" si="13"/>
        <v>46.507257068040218</v>
      </c>
      <c r="CK18" s="207">
        <v>7912.3301799999999</v>
      </c>
      <c r="CL18" s="207">
        <v>3374.5380399999999</v>
      </c>
      <c r="CM18" s="210">
        <v>9040990.7799999993</v>
      </c>
      <c r="CN18" s="207">
        <f t="shared" si="44"/>
        <v>9040.9907800000001</v>
      </c>
      <c r="CO18" s="210">
        <v>5228176.4000000004</v>
      </c>
      <c r="CP18" s="207">
        <f t="shared" si="45"/>
        <v>5228.1764000000003</v>
      </c>
      <c r="CQ18" s="207">
        <f t="shared" si="14"/>
        <v>1128.6606000000002</v>
      </c>
      <c r="CR18" s="207">
        <f t="shared" si="15"/>
        <v>1853.6383600000004</v>
      </c>
      <c r="CS18" s="207">
        <f t="shared" si="16"/>
        <v>-27975.11752999993</v>
      </c>
      <c r="CT18" s="207">
        <f t="shared" si="17"/>
        <v>-8766.1878500001039</v>
      </c>
      <c r="CU18" s="207">
        <v>103500</v>
      </c>
      <c r="CV18" s="207">
        <v>110000</v>
      </c>
      <c r="CW18" s="207">
        <f t="shared" si="46"/>
        <v>6500</v>
      </c>
      <c r="CX18" s="206">
        <v>0</v>
      </c>
      <c r="CY18" s="206">
        <v>497853177.00999999</v>
      </c>
      <c r="CZ18" s="206">
        <v>15361754.1</v>
      </c>
      <c r="DA18" s="206">
        <v>4522900</v>
      </c>
      <c r="DB18" s="207">
        <f t="shared" si="47"/>
        <v>517737.83111000003</v>
      </c>
      <c r="DC18" s="206">
        <v>0</v>
      </c>
      <c r="DD18" s="206">
        <v>360802699.89999998</v>
      </c>
      <c r="DE18" s="206">
        <v>7779601.0999999996</v>
      </c>
      <c r="DF18" s="206">
        <v>3890900</v>
      </c>
      <c r="DG18" s="207">
        <f t="shared" si="48"/>
        <v>372473.201</v>
      </c>
      <c r="DH18" s="211">
        <f t="shared" si="18"/>
        <v>461042.70911000005</v>
      </c>
      <c r="DI18" s="211">
        <f t="shared" si="19"/>
        <v>334523.56547000003</v>
      </c>
      <c r="DJ18" s="207">
        <f t="shared" si="49"/>
        <v>72.558042641161506</v>
      </c>
      <c r="DK18" s="206">
        <v>148978000</v>
      </c>
      <c r="DL18" s="207">
        <f t="shared" si="50"/>
        <v>148978</v>
      </c>
      <c r="DM18" s="206">
        <v>110143796.36</v>
      </c>
      <c r="DN18" s="207">
        <f t="shared" si="50"/>
        <v>110143.79635999999</v>
      </c>
      <c r="DO18" s="210">
        <v>137575</v>
      </c>
      <c r="DP18" s="207">
        <f t="shared" si="50"/>
        <v>137.57499999999999</v>
      </c>
      <c r="DQ18" s="210">
        <v>61360</v>
      </c>
      <c r="DR18" s="207">
        <f t="shared" si="50"/>
        <v>61.36</v>
      </c>
      <c r="DS18" s="207">
        <f t="shared" si="51"/>
        <v>-76.214999999999989</v>
      </c>
      <c r="DT18" s="207">
        <v>22610.623090000001</v>
      </c>
      <c r="DU18" s="207">
        <v>14181.029930000001</v>
      </c>
      <c r="DV18" s="207">
        <v>462432.08529999998</v>
      </c>
      <c r="DW18" s="207">
        <v>14563.382299999999</v>
      </c>
      <c r="DX18" s="207">
        <f t="shared" si="52"/>
        <v>439821.46220999997</v>
      </c>
      <c r="DY18" s="207">
        <f t="shared" si="53"/>
        <v>382.3523699999987</v>
      </c>
    </row>
    <row r="19" spans="1:129" s="207" customFormat="1" x14ac:dyDescent="0.25">
      <c r="A19" s="205" t="s">
        <v>175</v>
      </c>
      <c r="B19" s="206">
        <v>0</v>
      </c>
      <c r="C19" s="206">
        <v>753494519.51999998</v>
      </c>
      <c r="D19" s="206">
        <v>148908216.68000001</v>
      </c>
      <c r="E19" s="206">
        <v>42968813.759999998</v>
      </c>
      <c r="F19" s="207">
        <f t="shared" si="20"/>
        <v>945371.54996000009</v>
      </c>
      <c r="G19" s="206">
        <v>0</v>
      </c>
      <c r="H19" s="206">
        <v>532093515.62</v>
      </c>
      <c r="I19" s="206">
        <v>49778188.840000004</v>
      </c>
      <c r="J19" s="206">
        <v>25654924.809999999</v>
      </c>
      <c r="K19" s="207">
        <f t="shared" si="0"/>
        <v>607526.62927000003</v>
      </c>
      <c r="L19" s="206">
        <v>112886215</v>
      </c>
      <c r="M19" s="206">
        <v>0</v>
      </c>
      <c r="N19" s="206">
        <v>15770200</v>
      </c>
      <c r="O19" s="207">
        <f t="shared" si="21"/>
        <v>128656.41499999999</v>
      </c>
      <c r="P19" s="206">
        <v>32979807.899999999</v>
      </c>
      <c r="Q19" s="206">
        <v>0</v>
      </c>
      <c r="R19" s="206">
        <v>8037500</v>
      </c>
      <c r="S19" s="207">
        <f t="shared" si="22"/>
        <v>41017.3079</v>
      </c>
      <c r="T19" s="206">
        <v>0</v>
      </c>
      <c r="U19" s="206">
        <v>766903737.59000003</v>
      </c>
      <c r="V19" s="206">
        <v>167067015.31999999</v>
      </c>
      <c r="W19" s="206">
        <v>43988611.789999999</v>
      </c>
      <c r="X19" s="207">
        <f t="shared" si="1"/>
        <v>977959.36470000003</v>
      </c>
      <c r="Y19" s="206">
        <v>0</v>
      </c>
      <c r="Z19" s="206">
        <v>536957923.99000001</v>
      </c>
      <c r="AA19" s="206">
        <v>51461891.969999999</v>
      </c>
      <c r="AB19" s="206">
        <v>25441504.550000001</v>
      </c>
      <c r="AC19" s="207">
        <f t="shared" si="23"/>
        <v>613861.32050999999</v>
      </c>
      <c r="AD19" s="207">
        <f t="shared" si="2"/>
        <v>816715.13496000005</v>
      </c>
      <c r="AE19" s="207">
        <f t="shared" si="3"/>
        <v>566509.32137000002</v>
      </c>
      <c r="AF19" s="207">
        <f t="shared" si="24"/>
        <v>69.364371629741584</v>
      </c>
      <c r="AG19" s="208">
        <v>817320</v>
      </c>
      <c r="AH19" s="208">
        <f t="shared" si="25"/>
        <v>604.86503999994602</v>
      </c>
      <c r="AI19" s="208">
        <v>566509</v>
      </c>
      <c r="AJ19" s="208">
        <f t="shared" si="26"/>
        <v>-0.32137000001966953</v>
      </c>
      <c r="AK19" s="207">
        <f t="shared" si="4"/>
        <v>849302.9497</v>
      </c>
      <c r="AL19" s="207">
        <f t="shared" si="5"/>
        <v>572844.01260999998</v>
      </c>
      <c r="AM19" s="207">
        <f t="shared" si="27"/>
        <v>67.4487251942721</v>
      </c>
      <c r="AN19" s="206">
        <v>0</v>
      </c>
      <c r="AO19" s="206">
        <v>586739255.39999998</v>
      </c>
      <c r="AP19" s="206">
        <v>77879805</v>
      </c>
      <c r="AQ19" s="206">
        <v>35006410</v>
      </c>
      <c r="AR19" s="209">
        <f t="shared" si="6"/>
        <v>0</v>
      </c>
      <c r="AS19" s="207">
        <f t="shared" si="28"/>
        <v>699625.47039999999</v>
      </c>
      <c r="AT19" s="206">
        <v>0</v>
      </c>
      <c r="AU19" s="206">
        <v>411363092.19</v>
      </c>
      <c r="AV19" s="206">
        <v>11450944.51</v>
      </c>
      <c r="AW19" s="206">
        <v>21528863.390000001</v>
      </c>
      <c r="AX19" s="209">
        <f t="shared" si="7"/>
        <v>0</v>
      </c>
      <c r="AY19" s="207">
        <f t="shared" si="29"/>
        <v>444342.90008999995</v>
      </c>
      <c r="AZ19" s="207">
        <f t="shared" si="8"/>
        <v>570969.05539999995</v>
      </c>
      <c r="BA19" s="207">
        <f t="shared" si="9"/>
        <v>403325.59218999994</v>
      </c>
      <c r="BB19" s="207">
        <f t="shared" si="30"/>
        <v>70.638783026068694</v>
      </c>
      <c r="BC19" s="206">
        <v>0</v>
      </c>
      <c r="BD19" s="206">
        <v>166833700</v>
      </c>
      <c r="BE19" s="206">
        <v>70421726.140000001</v>
      </c>
      <c r="BF19" s="206">
        <v>8058248</v>
      </c>
      <c r="BG19" s="207">
        <f t="shared" si="31"/>
        <v>245313.67413999999</v>
      </c>
      <c r="BH19" s="206">
        <v>0</v>
      </c>
      <c r="BI19" s="206">
        <v>120808859.31</v>
      </c>
      <c r="BJ19" s="206">
        <v>37820558.789999999</v>
      </c>
      <c r="BK19" s="206">
        <v>4221905.66</v>
      </c>
      <c r="BL19" s="207">
        <f t="shared" si="32"/>
        <v>162851.32376</v>
      </c>
      <c r="BM19" s="210">
        <v>27209000</v>
      </c>
      <c r="BN19" s="207">
        <f t="shared" si="33"/>
        <v>27209</v>
      </c>
      <c r="BO19" s="210">
        <v>19648843.98</v>
      </c>
      <c r="BP19" s="207">
        <f t="shared" si="34"/>
        <v>19648.843980000001</v>
      </c>
      <c r="BQ19" s="207">
        <f t="shared" si="10"/>
        <v>72.21450248079681</v>
      </c>
      <c r="BR19" s="210">
        <v>18123212.27</v>
      </c>
      <c r="BS19" s="207">
        <f t="shared" si="35"/>
        <v>18123.21227</v>
      </c>
      <c r="BT19" s="375">
        <v>6650076.6699999999</v>
      </c>
      <c r="BU19" s="207">
        <f t="shared" si="36"/>
        <v>6650.0766700000004</v>
      </c>
      <c r="BV19" s="207">
        <f t="shared" si="11"/>
        <v>36.693697402684563</v>
      </c>
      <c r="BW19" s="210">
        <v>14076130</v>
      </c>
      <c r="BX19" s="207">
        <f t="shared" si="37"/>
        <v>14076.13</v>
      </c>
      <c r="BY19" s="210">
        <v>5363843.45</v>
      </c>
      <c r="BZ19" s="207">
        <f t="shared" si="38"/>
        <v>5363.8434500000003</v>
      </c>
      <c r="CA19" s="210">
        <v>5991962.04</v>
      </c>
      <c r="CB19" s="207">
        <f t="shared" si="39"/>
        <v>5991.9620400000003</v>
      </c>
      <c r="CC19" s="207">
        <f t="shared" si="12"/>
        <v>42.568248801339571</v>
      </c>
      <c r="CD19" s="207">
        <f t="shared" si="40"/>
        <v>628.11859000000004</v>
      </c>
      <c r="CE19" s="207">
        <f t="shared" si="41"/>
        <v>11.710233452096745</v>
      </c>
      <c r="CF19" s="210">
        <v>28013098.539999999</v>
      </c>
      <c r="CG19" s="207">
        <f t="shared" si="42"/>
        <v>28013.098539999999</v>
      </c>
      <c r="CH19" s="210">
        <v>15715465.85</v>
      </c>
      <c r="CI19" s="207">
        <f t="shared" si="43"/>
        <v>15715.465850000001</v>
      </c>
      <c r="CJ19" s="207">
        <f t="shared" si="13"/>
        <v>56.100419693165442</v>
      </c>
      <c r="CK19" s="207">
        <v>19263.066199999997</v>
      </c>
      <c r="CL19" s="207">
        <v>12663.722599999999</v>
      </c>
      <c r="CM19" s="210">
        <v>27691425.289999999</v>
      </c>
      <c r="CN19" s="207">
        <f t="shared" si="44"/>
        <v>27691.425289999999</v>
      </c>
      <c r="CO19" s="210">
        <v>8868016.4199999999</v>
      </c>
      <c r="CP19" s="207">
        <f t="shared" si="45"/>
        <v>8868.0164199999999</v>
      </c>
      <c r="CQ19" s="207">
        <f t="shared" si="14"/>
        <v>8428.3590900000017</v>
      </c>
      <c r="CR19" s="207">
        <f t="shared" si="15"/>
        <v>-3795.7061799999992</v>
      </c>
      <c r="CS19" s="207">
        <f t="shared" si="16"/>
        <v>-32587.814739999943</v>
      </c>
      <c r="CT19" s="207">
        <f t="shared" si="17"/>
        <v>-6334.6912399999565</v>
      </c>
      <c r="CU19" s="207">
        <v>8000</v>
      </c>
      <c r="CV19" s="207">
        <v>0</v>
      </c>
      <c r="CW19" s="207">
        <f t="shared" si="46"/>
        <v>-8000</v>
      </c>
      <c r="CX19" s="206">
        <v>0</v>
      </c>
      <c r="CY19" s="206">
        <v>586660819.51999998</v>
      </c>
      <c r="CZ19" s="206">
        <v>78486490.540000007</v>
      </c>
      <c r="DA19" s="206">
        <v>34910565.759999998</v>
      </c>
      <c r="DB19" s="207">
        <f t="shared" si="47"/>
        <v>700057.87581999996</v>
      </c>
      <c r="DC19" s="206">
        <v>0</v>
      </c>
      <c r="DD19" s="206">
        <v>411284656.31</v>
      </c>
      <c r="DE19" s="206">
        <v>11957630.050000001</v>
      </c>
      <c r="DF19" s="206">
        <v>21433019.149999999</v>
      </c>
      <c r="DG19" s="207">
        <f t="shared" si="48"/>
        <v>444675.30550999998</v>
      </c>
      <c r="DH19" s="211">
        <f t="shared" si="18"/>
        <v>571401.46081999992</v>
      </c>
      <c r="DI19" s="211">
        <f t="shared" si="19"/>
        <v>403657.99760999996</v>
      </c>
      <c r="DJ19" s="207">
        <f t="shared" si="49"/>
        <v>70.64350116128918</v>
      </c>
      <c r="DK19" s="206">
        <v>136879600</v>
      </c>
      <c r="DL19" s="207">
        <f t="shared" si="50"/>
        <v>136879.6</v>
      </c>
      <c r="DM19" s="206">
        <v>96954059.909999996</v>
      </c>
      <c r="DN19" s="207">
        <f t="shared" si="50"/>
        <v>96954.059909999996</v>
      </c>
      <c r="DO19" s="210">
        <v>8758858.9399999995</v>
      </c>
      <c r="DP19" s="207">
        <f t="shared" si="50"/>
        <v>8758.8589400000001</v>
      </c>
      <c r="DQ19" s="210">
        <v>3106664.22</v>
      </c>
      <c r="DR19" s="207">
        <f t="shared" si="50"/>
        <v>3106.6642200000001</v>
      </c>
      <c r="DS19" s="207">
        <f t="shared" si="51"/>
        <v>-5652.1947199999995</v>
      </c>
      <c r="DT19" s="207">
        <v>44209.228739999999</v>
      </c>
      <c r="DU19" s="207">
        <v>2302.7566299999999</v>
      </c>
      <c r="DV19" s="207">
        <v>39634.377800000002</v>
      </c>
      <c r="DW19" s="207">
        <v>3830.1952000000001</v>
      </c>
      <c r="DX19" s="207">
        <f t="shared" si="52"/>
        <v>-4574.8509399999966</v>
      </c>
      <c r="DY19" s="207">
        <f t="shared" si="53"/>
        <v>1527.4385700000003</v>
      </c>
    </row>
    <row r="20" spans="1:129" s="207" customFormat="1" x14ac:dyDescent="0.25">
      <c r="A20" s="205" t="s">
        <v>176</v>
      </c>
      <c r="B20" s="206">
        <v>0</v>
      </c>
      <c r="C20" s="206">
        <v>1014340102.24</v>
      </c>
      <c r="D20" s="206">
        <v>0</v>
      </c>
      <c r="E20" s="206">
        <v>101139975.84999999</v>
      </c>
      <c r="F20" s="207">
        <f t="shared" si="20"/>
        <v>1115480.07809</v>
      </c>
      <c r="G20" s="206">
        <v>0</v>
      </c>
      <c r="H20" s="206">
        <v>736714790.15999997</v>
      </c>
      <c r="I20" s="206">
        <v>0</v>
      </c>
      <c r="J20" s="206">
        <v>66599326.289999999</v>
      </c>
      <c r="K20" s="207">
        <f t="shared" si="0"/>
        <v>803314.11644999997</v>
      </c>
      <c r="L20" s="206">
        <v>76980044</v>
      </c>
      <c r="M20" s="206">
        <v>0</v>
      </c>
      <c r="N20" s="206">
        <v>17399900</v>
      </c>
      <c r="O20" s="207">
        <f t="shared" si="21"/>
        <v>94379.944000000003</v>
      </c>
      <c r="P20" s="206">
        <v>54150844</v>
      </c>
      <c r="Q20" s="206">
        <v>0</v>
      </c>
      <c r="R20" s="206">
        <v>12745480</v>
      </c>
      <c r="S20" s="207">
        <f t="shared" si="22"/>
        <v>66896.323999999993</v>
      </c>
      <c r="T20" s="206">
        <v>0</v>
      </c>
      <c r="U20" s="206">
        <v>1035597463.17</v>
      </c>
      <c r="V20" s="206">
        <v>0</v>
      </c>
      <c r="W20" s="206">
        <v>102956191.44</v>
      </c>
      <c r="X20" s="207">
        <f t="shared" si="1"/>
        <v>1138553.6546099999</v>
      </c>
      <c r="Y20" s="206">
        <v>0</v>
      </c>
      <c r="Z20" s="206">
        <v>727554197.61000001</v>
      </c>
      <c r="AA20" s="206">
        <v>0</v>
      </c>
      <c r="AB20" s="206">
        <v>60351044.329999998</v>
      </c>
      <c r="AC20" s="207">
        <f t="shared" si="23"/>
        <v>787905.24194000009</v>
      </c>
      <c r="AD20" s="207">
        <f t="shared" si="2"/>
        <v>1021100.1340899999</v>
      </c>
      <c r="AE20" s="207">
        <f t="shared" si="3"/>
        <v>736417.79244999995</v>
      </c>
      <c r="AF20" s="207">
        <f t="shared" si="24"/>
        <v>72.120036797986742</v>
      </c>
      <c r="AG20" s="208">
        <v>1021850</v>
      </c>
      <c r="AH20" s="208">
        <f t="shared" si="25"/>
        <v>749.86591000005137</v>
      </c>
      <c r="AI20" s="208">
        <v>736418</v>
      </c>
      <c r="AJ20" s="208">
        <f t="shared" si="26"/>
        <v>0.20755000005010515</v>
      </c>
      <c r="AK20" s="207">
        <f t="shared" si="4"/>
        <v>1044173.7106099998</v>
      </c>
      <c r="AL20" s="207">
        <f t="shared" si="5"/>
        <v>721008.91794000007</v>
      </c>
      <c r="AM20" s="207">
        <f t="shared" si="27"/>
        <v>69.05066758660216</v>
      </c>
      <c r="AN20" s="206">
        <v>0</v>
      </c>
      <c r="AO20" s="206">
        <v>884917289</v>
      </c>
      <c r="AP20" s="206">
        <v>0</v>
      </c>
      <c r="AQ20" s="206">
        <v>76230044</v>
      </c>
      <c r="AR20" s="209">
        <f t="shared" si="6"/>
        <v>750000</v>
      </c>
      <c r="AS20" s="207">
        <f t="shared" si="28"/>
        <v>961147.33299999998</v>
      </c>
      <c r="AT20" s="206">
        <v>0</v>
      </c>
      <c r="AU20" s="206">
        <v>644167983.15999997</v>
      </c>
      <c r="AV20" s="206">
        <v>0</v>
      </c>
      <c r="AW20" s="206">
        <v>54150844</v>
      </c>
      <c r="AX20" s="209">
        <f t="shared" si="7"/>
        <v>0</v>
      </c>
      <c r="AY20" s="207">
        <f t="shared" si="29"/>
        <v>698318.82715999999</v>
      </c>
      <c r="AZ20" s="207">
        <f t="shared" si="8"/>
        <v>866767.38899999997</v>
      </c>
      <c r="BA20" s="207">
        <f t="shared" si="9"/>
        <v>631422.50315999996</v>
      </c>
      <c r="BB20" s="207">
        <f t="shared" si="30"/>
        <v>72.847976420580352</v>
      </c>
      <c r="BC20" s="206">
        <v>0</v>
      </c>
      <c r="BD20" s="206">
        <v>132516832.95</v>
      </c>
      <c r="BE20" s="206">
        <v>0</v>
      </c>
      <c r="BF20" s="206">
        <v>25189005.210000001</v>
      </c>
      <c r="BG20" s="207">
        <f t="shared" si="31"/>
        <v>157705.83815999998</v>
      </c>
      <c r="BH20" s="206">
        <v>0</v>
      </c>
      <c r="BI20" s="206">
        <v>95640826.709999993</v>
      </c>
      <c r="BJ20" s="206">
        <v>0</v>
      </c>
      <c r="BK20" s="206">
        <v>12727555.65</v>
      </c>
      <c r="BL20" s="207">
        <f t="shared" si="32"/>
        <v>108368.38236</v>
      </c>
      <c r="BM20" s="210">
        <v>13298396.1</v>
      </c>
      <c r="BN20" s="207">
        <f t="shared" si="33"/>
        <v>13298.3961</v>
      </c>
      <c r="BO20" s="210">
        <v>9117051.1999999993</v>
      </c>
      <c r="BP20" s="207">
        <f t="shared" si="34"/>
        <v>9117.0511999999999</v>
      </c>
      <c r="BQ20" s="207">
        <f t="shared" si="10"/>
        <v>68.557524767968076</v>
      </c>
      <c r="BR20" s="210">
        <v>2218924</v>
      </c>
      <c r="BS20" s="207">
        <f t="shared" si="35"/>
        <v>2218.924</v>
      </c>
      <c r="BT20" s="375">
        <v>1566760.88</v>
      </c>
      <c r="BU20" s="207">
        <f t="shared" si="36"/>
        <v>1566.7608799999998</v>
      </c>
      <c r="BV20" s="207">
        <f t="shared" si="11"/>
        <v>70.609037533507234</v>
      </c>
      <c r="BW20" s="210">
        <v>10484400</v>
      </c>
      <c r="BX20" s="207">
        <f t="shared" si="37"/>
        <v>10484.4</v>
      </c>
      <c r="BY20" s="210">
        <v>3863271.85</v>
      </c>
      <c r="BZ20" s="207">
        <f t="shared" si="38"/>
        <v>3863.2718500000001</v>
      </c>
      <c r="CA20" s="210">
        <v>3395314.43</v>
      </c>
      <c r="CB20" s="207">
        <f t="shared" si="39"/>
        <v>3395.3144300000004</v>
      </c>
      <c r="CC20" s="207">
        <f t="shared" si="12"/>
        <v>32.384441932776319</v>
      </c>
      <c r="CD20" s="207">
        <f t="shared" si="40"/>
        <v>-467.95741999999973</v>
      </c>
      <c r="CE20" s="207">
        <f t="shared" si="41"/>
        <v>-12.112981901597209</v>
      </c>
      <c r="CF20" s="210">
        <v>12900279.07</v>
      </c>
      <c r="CG20" s="207">
        <f t="shared" si="42"/>
        <v>12900.279070000001</v>
      </c>
      <c r="CH20" s="210">
        <v>9978052.3000000007</v>
      </c>
      <c r="CI20" s="207">
        <f t="shared" si="43"/>
        <v>9978.0523000000012</v>
      </c>
      <c r="CJ20" s="207">
        <f t="shared" si="13"/>
        <v>77.347569349908653</v>
      </c>
      <c r="CK20" s="207">
        <v>39248.833049999994</v>
      </c>
      <c r="CL20" s="207">
        <v>2286.0284999999999</v>
      </c>
      <c r="CM20" s="210">
        <v>84752847.219999999</v>
      </c>
      <c r="CN20" s="207">
        <f t="shared" si="44"/>
        <v>84752.847219999996</v>
      </c>
      <c r="CO20" s="210">
        <v>4949766.92</v>
      </c>
      <c r="CP20" s="207">
        <f t="shared" si="45"/>
        <v>4949.76692</v>
      </c>
      <c r="CQ20" s="207">
        <f t="shared" si="14"/>
        <v>45504.014170000002</v>
      </c>
      <c r="CR20" s="207">
        <f t="shared" si="15"/>
        <v>2663.7384200000001</v>
      </c>
      <c r="CS20" s="207">
        <f t="shared" si="16"/>
        <v>-23073.576519999886</v>
      </c>
      <c r="CT20" s="207">
        <f t="shared" si="17"/>
        <v>15408.874509999878</v>
      </c>
      <c r="CV20" s="207">
        <v>0</v>
      </c>
      <c r="CW20" s="207">
        <f t="shared" si="46"/>
        <v>0</v>
      </c>
      <c r="CX20" s="206">
        <v>0</v>
      </c>
      <c r="CY20" s="206">
        <v>881823269.28999996</v>
      </c>
      <c r="CZ20" s="206">
        <v>0</v>
      </c>
      <c r="DA20" s="206">
        <v>75950970.640000001</v>
      </c>
      <c r="DB20" s="207">
        <f t="shared" si="47"/>
        <v>957774.23992999992</v>
      </c>
      <c r="DC20" s="206">
        <v>0</v>
      </c>
      <c r="DD20" s="206">
        <v>641073963.45000005</v>
      </c>
      <c r="DE20" s="206">
        <v>0</v>
      </c>
      <c r="DF20" s="206">
        <v>53871770.640000001</v>
      </c>
      <c r="DG20" s="207">
        <f t="shared" si="48"/>
        <v>694945.73409000004</v>
      </c>
      <c r="DH20" s="211">
        <f t="shared" si="18"/>
        <v>863394.29592999991</v>
      </c>
      <c r="DI20" s="211">
        <f t="shared" si="19"/>
        <v>628049.41009000002</v>
      </c>
      <c r="DJ20" s="207">
        <f t="shared" si="49"/>
        <v>72.741899390648683</v>
      </c>
      <c r="DK20" s="206">
        <v>95760000</v>
      </c>
      <c r="DL20" s="207">
        <f t="shared" si="50"/>
        <v>95760</v>
      </c>
      <c r="DM20" s="206">
        <v>65685843.390000001</v>
      </c>
      <c r="DN20" s="207">
        <f t="shared" si="50"/>
        <v>65685.843389999995</v>
      </c>
      <c r="DO20" s="210">
        <v>43807.15</v>
      </c>
      <c r="DP20" s="207">
        <f t="shared" si="50"/>
        <v>43.80715</v>
      </c>
      <c r="DQ20" s="210">
        <v>17755.72</v>
      </c>
      <c r="DR20" s="207">
        <f t="shared" si="50"/>
        <v>17.75572</v>
      </c>
      <c r="DS20" s="207">
        <f t="shared" si="51"/>
        <v>-26.05143</v>
      </c>
      <c r="DT20" s="207">
        <v>7797.0317299999997</v>
      </c>
      <c r="DU20" s="207">
        <v>2594.11591</v>
      </c>
      <c r="DV20" s="207">
        <v>244128.2574</v>
      </c>
      <c r="DW20" s="207">
        <v>2105.3891000000003</v>
      </c>
      <c r="DX20" s="207">
        <f t="shared" si="52"/>
        <v>236331.22567000001</v>
      </c>
      <c r="DY20" s="207">
        <f t="shared" si="53"/>
        <v>-488.72680999999966</v>
      </c>
    </row>
    <row r="21" spans="1:129" s="207" customFormat="1" x14ac:dyDescent="0.25">
      <c r="A21" s="205" t="s">
        <v>177</v>
      </c>
      <c r="B21" s="206">
        <v>0</v>
      </c>
      <c r="C21" s="206">
        <v>1012084413.1799999</v>
      </c>
      <c r="D21" s="206">
        <v>140476071.59</v>
      </c>
      <c r="E21" s="206">
        <v>11434560.68</v>
      </c>
      <c r="F21" s="207">
        <f t="shared" si="20"/>
        <v>1163995.0454500001</v>
      </c>
      <c r="G21" s="206">
        <v>0</v>
      </c>
      <c r="H21" s="206">
        <v>770939622.91999996</v>
      </c>
      <c r="I21" s="206">
        <v>93267800.010000005</v>
      </c>
      <c r="J21" s="206">
        <v>365651.77</v>
      </c>
      <c r="K21" s="207">
        <f t="shared" si="0"/>
        <v>864573.07469999988</v>
      </c>
      <c r="L21" s="206">
        <v>43065931.090000004</v>
      </c>
      <c r="M21" s="206">
        <v>0</v>
      </c>
      <c r="N21" s="206">
        <v>232908.16</v>
      </c>
      <c r="O21" s="207">
        <f t="shared" si="21"/>
        <v>43298.839249999997</v>
      </c>
      <c r="P21" s="206">
        <v>29761501.870000001</v>
      </c>
      <c r="Q21" s="206">
        <v>0</v>
      </c>
      <c r="R21" s="206">
        <v>118570.59</v>
      </c>
      <c r="S21" s="207">
        <f t="shared" si="22"/>
        <v>29880.072459999999</v>
      </c>
      <c r="T21" s="206">
        <v>0</v>
      </c>
      <c r="U21" s="206">
        <v>1021536048.61</v>
      </c>
      <c r="V21" s="206">
        <v>155651196.88999999</v>
      </c>
      <c r="W21" s="206">
        <v>33398497.300000001</v>
      </c>
      <c r="X21" s="207">
        <f t="shared" si="1"/>
        <v>1210585.7427999999</v>
      </c>
      <c r="Y21" s="206">
        <v>0</v>
      </c>
      <c r="Z21" s="206">
        <v>758045228.29999995</v>
      </c>
      <c r="AA21" s="206">
        <v>98724696.489999995</v>
      </c>
      <c r="AB21" s="206">
        <v>21228681.010000002</v>
      </c>
      <c r="AC21" s="207">
        <f t="shared" si="23"/>
        <v>877998.6057999999</v>
      </c>
      <c r="AD21" s="207">
        <f t="shared" si="2"/>
        <v>1120696.2062000001</v>
      </c>
      <c r="AE21" s="207">
        <f t="shared" si="3"/>
        <v>834693.00223999983</v>
      </c>
      <c r="AF21" s="207">
        <f t="shared" si="24"/>
        <v>74.479863286968254</v>
      </c>
      <c r="AG21" s="208">
        <v>1120696</v>
      </c>
      <c r="AH21" s="208">
        <f t="shared" si="25"/>
        <v>-0.20620000013150275</v>
      </c>
      <c r="AI21" s="208">
        <v>834693</v>
      </c>
      <c r="AJ21" s="208">
        <f t="shared" si="26"/>
        <v>-2.2399998269975185E-3</v>
      </c>
      <c r="AK21" s="207">
        <f t="shared" si="4"/>
        <v>1167286.9035499999</v>
      </c>
      <c r="AL21" s="207">
        <f t="shared" si="5"/>
        <v>848118.53333999985</v>
      </c>
      <c r="AM21" s="207">
        <f t="shared" si="27"/>
        <v>72.65724739656271</v>
      </c>
      <c r="AN21" s="206">
        <v>0</v>
      </c>
      <c r="AO21" s="206">
        <v>776830744.5</v>
      </c>
      <c r="AP21" s="206">
        <v>22372300</v>
      </c>
      <c r="AQ21" s="206">
        <v>20693631.09</v>
      </c>
      <c r="AR21" s="209">
        <f t="shared" si="6"/>
        <v>0</v>
      </c>
      <c r="AS21" s="207">
        <f t="shared" si="28"/>
        <v>819896.67559</v>
      </c>
      <c r="AT21" s="206">
        <v>0</v>
      </c>
      <c r="AU21" s="206">
        <v>597618807.66999996</v>
      </c>
      <c r="AV21" s="206">
        <v>13935809.189999999</v>
      </c>
      <c r="AW21" s="206">
        <v>15825692.68</v>
      </c>
      <c r="AX21" s="209">
        <f t="shared" si="7"/>
        <v>0</v>
      </c>
      <c r="AY21" s="207">
        <f t="shared" si="29"/>
        <v>627380.30953999993</v>
      </c>
      <c r="AZ21" s="207">
        <f t="shared" si="8"/>
        <v>776597.83634000004</v>
      </c>
      <c r="BA21" s="207">
        <f t="shared" si="9"/>
        <v>597500.23707999988</v>
      </c>
      <c r="BB21" s="207">
        <f t="shared" si="30"/>
        <v>76.938179469561391</v>
      </c>
      <c r="BC21" s="206">
        <v>0</v>
      </c>
      <c r="BD21" s="206">
        <v>215080700</v>
      </c>
      <c r="BE21" s="206">
        <v>118034422.59</v>
      </c>
      <c r="BF21" s="206">
        <v>11670391.65</v>
      </c>
      <c r="BG21" s="207">
        <f t="shared" si="31"/>
        <v>344785.51423999999</v>
      </c>
      <c r="BH21" s="206">
        <v>0</v>
      </c>
      <c r="BI21" s="206">
        <v>148571237.77000001</v>
      </c>
      <c r="BJ21" s="206">
        <v>79261641.819999993</v>
      </c>
      <c r="BK21" s="206">
        <v>5445421.1500000004</v>
      </c>
      <c r="BL21" s="207">
        <f t="shared" si="32"/>
        <v>233278.30074000001</v>
      </c>
      <c r="BM21" s="210">
        <v>27866930.449999999</v>
      </c>
      <c r="BN21" s="207">
        <f t="shared" si="33"/>
        <v>27866.93045</v>
      </c>
      <c r="BO21" s="210">
        <v>19251260.620000001</v>
      </c>
      <c r="BP21" s="207">
        <f t="shared" si="34"/>
        <v>19251.260620000001</v>
      </c>
      <c r="BQ21" s="207">
        <f t="shared" si="10"/>
        <v>69.082817192734623</v>
      </c>
      <c r="BR21" s="210">
        <v>7419850</v>
      </c>
      <c r="BS21" s="207">
        <f t="shared" si="35"/>
        <v>7419.85</v>
      </c>
      <c r="BT21" s="375">
        <v>13461544.5</v>
      </c>
      <c r="BU21" s="207">
        <f t="shared" si="36"/>
        <v>13461.5445</v>
      </c>
      <c r="BV21" s="207">
        <f t="shared" si="11"/>
        <v>181.42610025809145</v>
      </c>
      <c r="BW21" s="210">
        <v>39733295.670000002</v>
      </c>
      <c r="BX21" s="207">
        <f t="shared" si="37"/>
        <v>39733.29567</v>
      </c>
      <c r="BY21" s="210">
        <v>22330805.43</v>
      </c>
      <c r="BZ21" s="207">
        <f t="shared" si="38"/>
        <v>22330.80543</v>
      </c>
      <c r="CA21" s="210">
        <v>21844291.170000002</v>
      </c>
      <c r="CB21" s="207">
        <f t="shared" si="39"/>
        <v>21844.29117</v>
      </c>
      <c r="CC21" s="207">
        <f t="shared" si="12"/>
        <v>54.977294990642292</v>
      </c>
      <c r="CD21" s="207">
        <f t="shared" si="40"/>
        <v>-486.51425999999992</v>
      </c>
      <c r="CE21" s="207">
        <f t="shared" si="41"/>
        <v>-2.1786686625570582</v>
      </c>
      <c r="CF21" s="210">
        <v>47944387.920000002</v>
      </c>
      <c r="CG21" s="207">
        <f t="shared" si="42"/>
        <v>47944.387920000001</v>
      </c>
      <c r="CH21" s="210">
        <v>20814276.98</v>
      </c>
      <c r="CI21" s="207">
        <f t="shared" si="43"/>
        <v>20814.276979999999</v>
      </c>
      <c r="CJ21" s="207">
        <f t="shared" si="13"/>
        <v>43.413375126888049</v>
      </c>
      <c r="CK21" s="207">
        <v>41180.996850000003</v>
      </c>
      <c r="CL21" s="207">
        <v>21139.249949999998</v>
      </c>
      <c r="CM21" s="210">
        <v>78740563.620000005</v>
      </c>
      <c r="CN21" s="207">
        <f t="shared" si="44"/>
        <v>78740.563620000001</v>
      </c>
      <c r="CO21" s="210">
        <v>4839882.1399999997</v>
      </c>
      <c r="CP21" s="207">
        <f t="shared" si="45"/>
        <v>4839.8821399999997</v>
      </c>
      <c r="CQ21" s="207">
        <f t="shared" si="14"/>
        <v>37559.566769999998</v>
      </c>
      <c r="CR21" s="207">
        <f t="shared" si="15"/>
        <v>-16299.367809999998</v>
      </c>
      <c r="CS21" s="207">
        <f t="shared" si="16"/>
        <v>-46590.697349999798</v>
      </c>
      <c r="CT21" s="207">
        <f t="shared" si="17"/>
        <v>-13425.531100000022</v>
      </c>
      <c r="CU21" s="207">
        <v>97000</v>
      </c>
      <c r="CV21" s="207">
        <v>71000</v>
      </c>
      <c r="CW21" s="207">
        <f t="shared" si="46"/>
        <v>-26000</v>
      </c>
      <c r="CX21" s="206">
        <v>0</v>
      </c>
      <c r="CY21" s="206">
        <v>797003713.17999995</v>
      </c>
      <c r="CZ21" s="206">
        <v>22441649</v>
      </c>
      <c r="DA21" s="206">
        <v>-235830.97</v>
      </c>
      <c r="DB21" s="207">
        <f t="shared" si="47"/>
        <v>819209.53120999993</v>
      </c>
      <c r="DC21" s="206">
        <v>0</v>
      </c>
      <c r="DD21" s="206">
        <v>622368385.14999998</v>
      </c>
      <c r="DE21" s="206">
        <v>14006158.189999999</v>
      </c>
      <c r="DF21" s="206">
        <v>-5079769.38</v>
      </c>
      <c r="DG21" s="207">
        <f t="shared" si="48"/>
        <v>631294.77396000002</v>
      </c>
      <c r="DH21" s="211">
        <f t="shared" si="18"/>
        <v>775910.69195999997</v>
      </c>
      <c r="DI21" s="211">
        <f t="shared" si="19"/>
        <v>601414.70149999997</v>
      </c>
      <c r="DJ21" s="207">
        <f t="shared" si="49"/>
        <v>77.510815063108353</v>
      </c>
      <c r="DK21" s="206">
        <v>194612322</v>
      </c>
      <c r="DL21" s="207">
        <f t="shared" si="50"/>
        <v>194612.32199999999</v>
      </c>
      <c r="DM21" s="206">
        <v>138383834.31</v>
      </c>
      <c r="DN21" s="207">
        <f t="shared" si="50"/>
        <v>138383.83431000001</v>
      </c>
      <c r="DO21" s="210">
        <v>0</v>
      </c>
      <c r="DP21" s="207">
        <f t="shared" si="50"/>
        <v>0</v>
      </c>
      <c r="DQ21" s="210">
        <v>11811.01</v>
      </c>
      <c r="DR21" s="207">
        <f t="shared" si="50"/>
        <v>11.81101</v>
      </c>
      <c r="DS21" s="207">
        <f t="shared" si="51"/>
        <v>11.81101</v>
      </c>
      <c r="DT21" s="207">
        <v>156071.06644999998</v>
      </c>
      <c r="DU21" s="207">
        <v>91769.900500000003</v>
      </c>
      <c r="DV21" s="207">
        <v>131518.60310000001</v>
      </c>
      <c r="DW21" s="207">
        <v>88622.2353</v>
      </c>
      <c r="DX21" s="207">
        <f t="shared" si="52"/>
        <v>-24552.463349999976</v>
      </c>
      <c r="DY21" s="207">
        <f t="shared" si="53"/>
        <v>-3147.6652000000031</v>
      </c>
    </row>
    <row r="22" spans="1:129" s="207" customFormat="1" x14ac:dyDescent="0.25">
      <c r="A22" s="205" t="s">
        <v>178</v>
      </c>
      <c r="B22" s="206">
        <v>0</v>
      </c>
      <c r="C22" s="206">
        <v>1029085561</v>
      </c>
      <c r="D22" s="206">
        <v>0</v>
      </c>
      <c r="E22" s="206">
        <v>295447545.41000003</v>
      </c>
      <c r="F22" s="207">
        <f t="shared" si="20"/>
        <v>1324533.10641</v>
      </c>
      <c r="G22" s="206">
        <v>0</v>
      </c>
      <c r="H22" s="206">
        <v>657411225.63</v>
      </c>
      <c r="I22" s="206">
        <v>0</v>
      </c>
      <c r="J22" s="206">
        <v>136222445.38</v>
      </c>
      <c r="K22" s="207">
        <f t="shared" si="0"/>
        <v>793633.67100999993</v>
      </c>
      <c r="L22" s="206">
        <v>225848054.33000001</v>
      </c>
      <c r="M22" s="206">
        <v>0</v>
      </c>
      <c r="N22" s="206">
        <v>440000</v>
      </c>
      <c r="O22" s="207">
        <f t="shared" si="21"/>
        <v>226288.05433000001</v>
      </c>
      <c r="P22" s="206">
        <v>87545926.530000001</v>
      </c>
      <c r="Q22" s="206">
        <v>0</v>
      </c>
      <c r="R22" s="206">
        <v>330000</v>
      </c>
      <c r="S22" s="207">
        <f t="shared" si="22"/>
        <v>87875.926529999997</v>
      </c>
      <c r="T22" s="206">
        <v>0</v>
      </c>
      <c r="U22" s="206">
        <v>1075551823.1800001</v>
      </c>
      <c r="V22" s="206">
        <v>0</v>
      </c>
      <c r="W22" s="206">
        <v>306729804.69999999</v>
      </c>
      <c r="X22" s="207">
        <f t="shared" si="1"/>
        <v>1382281.62788</v>
      </c>
      <c r="Y22" s="206">
        <v>0</v>
      </c>
      <c r="Z22" s="206">
        <v>661459978.76999998</v>
      </c>
      <c r="AA22" s="206">
        <v>0</v>
      </c>
      <c r="AB22" s="206">
        <v>118401176.83</v>
      </c>
      <c r="AC22" s="207">
        <f t="shared" si="23"/>
        <v>779861.15560000006</v>
      </c>
      <c r="AD22" s="207">
        <f t="shared" si="2"/>
        <v>1098245.0520800001</v>
      </c>
      <c r="AE22" s="207">
        <f t="shared" si="3"/>
        <v>705757.74447999988</v>
      </c>
      <c r="AF22" s="207">
        <f t="shared" si="24"/>
        <v>64.262319519978135</v>
      </c>
      <c r="AG22" s="208">
        <v>1098245</v>
      </c>
      <c r="AH22" s="208">
        <f t="shared" si="25"/>
        <v>-5.208000005222857E-2</v>
      </c>
      <c r="AI22" s="208">
        <v>705758</v>
      </c>
      <c r="AJ22" s="208">
        <f t="shared" si="26"/>
        <v>0.25552000012248755</v>
      </c>
      <c r="AK22" s="207">
        <f t="shared" si="4"/>
        <v>1155993.5735500001</v>
      </c>
      <c r="AL22" s="207">
        <f t="shared" si="5"/>
        <v>691985.22907000012</v>
      </c>
      <c r="AM22" s="207">
        <f t="shared" si="27"/>
        <v>59.860646711464589</v>
      </c>
      <c r="AN22" s="206">
        <v>0</v>
      </c>
      <c r="AO22" s="206">
        <v>699691822.11000001</v>
      </c>
      <c r="AP22" s="206">
        <v>0</v>
      </c>
      <c r="AQ22" s="206">
        <v>225848054.33000001</v>
      </c>
      <c r="AR22" s="209">
        <f t="shared" si="6"/>
        <v>0</v>
      </c>
      <c r="AS22" s="207">
        <f t="shared" si="28"/>
        <v>925539.87644000002</v>
      </c>
      <c r="AT22" s="206">
        <v>0</v>
      </c>
      <c r="AU22" s="206">
        <v>391998858.91000003</v>
      </c>
      <c r="AV22" s="206">
        <v>0</v>
      </c>
      <c r="AW22" s="206">
        <v>87545926.530000001</v>
      </c>
      <c r="AX22" s="209">
        <f t="shared" si="7"/>
        <v>0</v>
      </c>
      <c r="AY22" s="207">
        <f t="shared" si="29"/>
        <v>479544.78544000007</v>
      </c>
      <c r="AZ22" s="207">
        <f t="shared" si="8"/>
        <v>699251.82211000007</v>
      </c>
      <c r="BA22" s="207">
        <f t="shared" si="9"/>
        <v>391668.85891000007</v>
      </c>
      <c r="BB22" s="207">
        <f t="shared" si="30"/>
        <v>56.012561787559591</v>
      </c>
      <c r="BC22" s="206">
        <v>0</v>
      </c>
      <c r="BD22" s="206">
        <v>322498825</v>
      </c>
      <c r="BE22" s="206">
        <v>0</v>
      </c>
      <c r="BF22" s="206">
        <v>69569920.969999999</v>
      </c>
      <c r="BG22" s="207">
        <f t="shared" si="31"/>
        <v>392068.74597000005</v>
      </c>
      <c r="BH22" s="206">
        <v>0</v>
      </c>
      <c r="BI22" s="206">
        <v>258472952.83000001</v>
      </c>
      <c r="BJ22" s="206">
        <v>0</v>
      </c>
      <c r="BK22" s="206">
        <v>48587764.740000002</v>
      </c>
      <c r="BL22" s="207">
        <f t="shared" si="32"/>
        <v>307060.71756999998</v>
      </c>
      <c r="BM22" s="210">
        <v>16967830</v>
      </c>
      <c r="BN22" s="207">
        <f t="shared" si="33"/>
        <v>16967.830000000002</v>
      </c>
      <c r="BO22" s="210">
        <v>12653497.25</v>
      </c>
      <c r="BP22" s="207">
        <f t="shared" si="34"/>
        <v>12653.49725</v>
      </c>
      <c r="BQ22" s="207">
        <f t="shared" si="10"/>
        <v>74.573456063621563</v>
      </c>
      <c r="BR22" s="210">
        <v>68170041.849999994</v>
      </c>
      <c r="BS22" s="207">
        <f t="shared" si="35"/>
        <v>68170.041849999994</v>
      </c>
      <c r="BT22" s="375">
        <v>70130123.409999996</v>
      </c>
      <c r="BU22" s="207">
        <f t="shared" si="36"/>
        <v>70130.12341</v>
      </c>
      <c r="BV22" s="207">
        <f t="shared" si="11"/>
        <v>102.87528290552164</v>
      </c>
      <c r="BW22" s="210">
        <v>27304000</v>
      </c>
      <c r="BX22" s="207">
        <f t="shared" si="37"/>
        <v>27304</v>
      </c>
      <c r="BY22" s="210">
        <v>10863604.039999999</v>
      </c>
      <c r="BZ22" s="207">
        <f t="shared" si="38"/>
        <v>10863.604039999998</v>
      </c>
      <c r="CA22" s="210">
        <v>14606162.189999999</v>
      </c>
      <c r="CB22" s="207">
        <f t="shared" si="39"/>
        <v>14606.162189999999</v>
      </c>
      <c r="CC22" s="207">
        <f t="shared" si="12"/>
        <v>53.494587569586869</v>
      </c>
      <c r="CD22" s="207">
        <f t="shared" si="40"/>
        <v>3742.5581500000008</v>
      </c>
      <c r="CE22" s="207">
        <f t="shared" si="41"/>
        <v>34.450428570664286</v>
      </c>
      <c r="CF22" s="210">
        <v>30335582</v>
      </c>
      <c r="CG22" s="207">
        <f t="shared" si="42"/>
        <v>30335.581999999999</v>
      </c>
      <c r="CH22" s="210">
        <v>21341743.559999999</v>
      </c>
      <c r="CI22" s="207">
        <f t="shared" si="43"/>
        <v>21341.743559999999</v>
      </c>
      <c r="CJ22" s="207">
        <f t="shared" si="13"/>
        <v>70.352181013042696</v>
      </c>
      <c r="CK22" s="207">
        <v>69216.811000000002</v>
      </c>
      <c r="CL22" s="207">
        <v>3268.28404</v>
      </c>
      <c r="CM22" s="210">
        <v>113185007.88</v>
      </c>
      <c r="CN22" s="207">
        <f t="shared" si="44"/>
        <v>113185.00787999999</v>
      </c>
      <c r="CO22" s="210">
        <v>10355751.300000001</v>
      </c>
      <c r="CP22" s="207">
        <f t="shared" si="45"/>
        <v>10355.7513</v>
      </c>
      <c r="CQ22" s="207">
        <f t="shared" si="14"/>
        <v>43968.196879999989</v>
      </c>
      <c r="CR22" s="207">
        <f t="shared" si="15"/>
        <v>7087.4672599999994</v>
      </c>
      <c r="CS22" s="207">
        <f t="shared" si="16"/>
        <v>-57748.521470000036</v>
      </c>
      <c r="CT22" s="207">
        <f t="shared" si="17"/>
        <v>13772.51540999976</v>
      </c>
      <c r="CU22" s="207">
        <v>0</v>
      </c>
      <c r="CV22" s="207">
        <v>0</v>
      </c>
      <c r="CW22" s="207">
        <f t="shared" si="46"/>
        <v>0</v>
      </c>
      <c r="CX22" s="206">
        <v>0</v>
      </c>
      <c r="CY22" s="206">
        <v>706586736</v>
      </c>
      <c r="CZ22" s="206">
        <v>0</v>
      </c>
      <c r="DA22" s="206">
        <v>225877624.44</v>
      </c>
      <c r="DB22" s="207">
        <f t="shared" si="47"/>
        <v>932464.36044000008</v>
      </c>
      <c r="DC22" s="206">
        <v>0</v>
      </c>
      <c r="DD22" s="206">
        <v>398938272.80000001</v>
      </c>
      <c r="DE22" s="206">
        <v>0</v>
      </c>
      <c r="DF22" s="206">
        <v>87634680.640000001</v>
      </c>
      <c r="DG22" s="207">
        <f t="shared" si="48"/>
        <v>486572.95344000001</v>
      </c>
      <c r="DH22" s="211">
        <f t="shared" si="18"/>
        <v>706176.30611</v>
      </c>
      <c r="DI22" s="211">
        <f t="shared" si="19"/>
        <v>398697.02691000002</v>
      </c>
      <c r="DJ22" s="207">
        <f t="shared" si="49"/>
        <v>56.458567564555977</v>
      </c>
      <c r="DK22" s="206">
        <v>214199161.5</v>
      </c>
      <c r="DL22" s="207">
        <f t="shared" si="50"/>
        <v>214199.16149999999</v>
      </c>
      <c r="DM22" s="206">
        <v>171836053.21000001</v>
      </c>
      <c r="DN22" s="207">
        <f t="shared" si="50"/>
        <v>171836.05321000001</v>
      </c>
      <c r="DO22" s="210">
        <v>7864226.3200000003</v>
      </c>
      <c r="DP22" s="207">
        <f t="shared" si="50"/>
        <v>7864.2263200000007</v>
      </c>
      <c r="DQ22" s="210">
        <v>8411452.1999999993</v>
      </c>
      <c r="DR22" s="207">
        <f t="shared" si="50"/>
        <v>8411.4521999999997</v>
      </c>
      <c r="DS22" s="207">
        <f t="shared" si="51"/>
        <v>547.22587999999905</v>
      </c>
      <c r="DT22" s="207">
        <v>27699.816760000002</v>
      </c>
      <c r="DU22" s="207">
        <v>10297.972960000001</v>
      </c>
      <c r="DV22" s="207">
        <v>70488.261499999993</v>
      </c>
      <c r="DW22" s="207">
        <v>7293.5649999999996</v>
      </c>
      <c r="DX22" s="207">
        <f t="shared" si="52"/>
        <v>42788.444739999992</v>
      </c>
      <c r="DY22" s="207">
        <f t="shared" si="53"/>
        <v>-3004.4079600000014</v>
      </c>
    </row>
    <row r="23" spans="1:129" s="207" customFormat="1" x14ac:dyDescent="0.25">
      <c r="A23" s="205" t="s">
        <v>179</v>
      </c>
      <c r="B23" s="206">
        <v>0</v>
      </c>
      <c r="C23" s="206">
        <v>950494688.03999996</v>
      </c>
      <c r="D23" s="206">
        <v>48694669.780000001</v>
      </c>
      <c r="E23" s="206">
        <v>75714438.790000007</v>
      </c>
      <c r="F23" s="207">
        <f t="shared" si="20"/>
        <v>1074903.7966099998</v>
      </c>
      <c r="G23" s="206">
        <v>0</v>
      </c>
      <c r="H23" s="206">
        <v>727348591.04999995</v>
      </c>
      <c r="I23" s="206">
        <v>30477060.050000001</v>
      </c>
      <c r="J23" s="206">
        <v>44293458.75</v>
      </c>
      <c r="K23" s="207">
        <f t="shared" si="0"/>
        <v>802119.10984999989</v>
      </c>
      <c r="L23" s="206">
        <v>67017525.010000005</v>
      </c>
      <c r="M23" s="206">
        <v>74825</v>
      </c>
      <c r="N23" s="206">
        <v>417486.13</v>
      </c>
      <c r="O23" s="207">
        <f t="shared" si="21"/>
        <v>67509.836139999999</v>
      </c>
      <c r="P23" s="206">
        <v>36826473.030000001</v>
      </c>
      <c r="Q23" s="206">
        <v>44912.479999999996</v>
      </c>
      <c r="R23" s="206">
        <v>262817.37</v>
      </c>
      <c r="S23" s="207">
        <f t="shared" si="22"/>
        <v>37134.202879999997</v>
      </c>
      <c r="T23" s="206">
        <v>0</v>
      </c>
      <c r="U23" s="206">
        <v>979217858.49000001</v>
      </c>
      <c r="V23" s="206">
        <v>56082846</v>
      </c>
      <c r="W23" s="206">
        <v>78023280.709999993</v>
      </c>
      <c r="X23" s="207">
        <f t="shared" si="1"/>
        <v>1113323.9852</v>
      </c>
      <c r="Y23" s="206">
        <v>0</v>
      </c>
      <c r="Z23" s="206">
        <v>759127767.85000002</v>
      </c>
      <c r="AA23" s="206">
        <v>31803247.280000001</v>
      </c>
      <c r="AB23" s="206">
        <v>43262931.369999997</v>
      </c>
      <c r="AC23" s="207">
        <f t="shared" si="23"/>
        <v>834193.94649999996</v>
      </c>
      <c r="AD23" s="207">
        <f t="shared" si="2"/>
        <v>1007393.9604699998</v>
      </c>
      <c r="AE23" s="207">
        <f t="shared" si="3"/>
        <v>764984.90696999989</v>
      </c>
      <c r="AF23" s="207">
        <f t="shared" si="24"/>
        <v>75.937015406871822</v>
      </c>
      <c r="AG23" s="208">
        <v>1007394</v>
      </c>
      <c r="AH23" s="208">
        <f t="shared" si="25"/>
        <v>3.9530000183731318E-2</v>
      </c>
      <c r="AI23" s="208">
        <v>764996</v>
      </c>
      <c r="AJ23" s="208">
        <f t="shared" si="26"/>
        <v>11.0930300001055</v>
      </c>
      <c r="AK23" s="207">
        <f t="shared" si="4"/>
        <v>1045814.14906</v>
      </c>
      <c r="AL23" s="207">
        <f t="shared" si="5"/>
        <v>797059.74361999996</v>
      </c>
      <c r="AM23" s="207">
        <f t="shared" si="27"/>
        <v>76.214281890947291</v>
      </c>
      <c r="AN23" s="206">
        <v>0</v>
      </c>
      <c r="AO23" s="206">
        <v>751885983.45000005</v>
      </c>
      <c r="AP23" s="206">
        <v>12350270</v>
      </c>
      <c r="AQ23" s="206">
        <v>54667255.009999998</v>
      </c>
      <c r="AR23" s="209">
        <f t="shared" si="6"/>
        <v>0</v>
      </c>
      <c r="AS23" s="207">
        <f t="shared" si="28"/>
        <v>818903.50846000004</v>
      </c>
      <c r="AT23" s="206">
        <v>0</v>
      </c>
      <c r="AU23" s="206">
        <v>569061176.51999998</v>
      </c>
      <c r="AV23" s="206">
        <v>4962916.68</v>
      </c>
      <c r="AW23" s="206">
        <v>31852734.550000001</v>
      </c>
      <c r="AX23" s="209">
        <f t="shared" si="7"/>
        <v>10821.79999999702</v>
      </c>
      <c r="AY23" s="207">
        <f t="shared" si="29"/>
        <v>605876.82774999994</v>
      </c>
      <c r="AZ23" s="207">
        <f t="shared" si="8"/>
        <v>751393.67232000001</v>
      </c>
      <c r="BA23" s="207">
        <f t="shared" si="9"/>
        <v>568742.62486999994</v>
      </c>
      <c r="BB23" s="207">
        <f t="shared" si="30"/>
        <v>75.691697417939722</v>
      </c>
      <c r="BC23" s="206">
        <v>0</v>
      </c>
      <c r="BD23" s="206">
        <v>194858562.62</v>
      </c>
      <c r="BE23" s="206">
        <v>38932576</v>
      </c>
      <c r="BF23" s="206">
        <v>20613324.68</v>
      </c>
      <c r="BG23" s="207">
        <f t="shared" si="31"/>
        <v>254404.4633</v>
      </c>
      <c r="BH23" s="206">
        <v>0</v>
      </c>
      <c r="BI23" s="206">
        <v>155218175.75999999</v>
      </c>
      <c r="BJ23" s="206">
        <v>28102319.59</v>
      </c>
      <c r="BK23" s="206">
        <v>12006865.1</v>
      </c>
      <c r="BL23" s="207">
        <f t="shared" si="32"/>
        <v>195327.36044999998</v>
      </c>
      <c r="BM23" s="210">
        <v>23739566</v>
      </c>
      <c r="BN23" s="207">
        <f t="shared" si="33"/>
        <v>23739.565999999999</v>
      </c>
      <c r="BO23" s="210">
        <v>17189326.859999999</v>
      </c>
      <c r="BP23" s="207">
        <f t="shared" si="34"/>
        <v>17189.326860000001</v>
      </c>
      <c r="BQ23" s="207">
        <f t="shared" si="10"/>
        <v>72.407923801134359</v>
      </c>
      <c r="BR23" s="210">
        <v>5991021.6799999997</v>
      </c>
      <c r="BS23" s="207">
        <f t="shared" si="35"/>
        <v>5991.0216799999998</v>
      </c>
      <c r="BT23" s="375">
        <v>5982618.7000000002</v>
      </c>
      <c r="BU23" s="207">
        <f t="shared" si="36"/>
        <v>5982.6187</v>
      </c>
      <c r="BV23" s="207">
        <f t="shared" si="11"/>
        <v>99.859740450814058</v>
      </c>
      <c r="BW23" s="210">
        <v>25131974</v>
      </c>
      <c r="BX23" s="207">
        <f t="shared" si="37"/>
        <v>25131.973999999998</v>
      </c>
      <c r="BY23" s="210">
        <v>6557947.0700000003</v>
      </c>
      <c r="BZ23" s="207">
        <f t="shared" si="38"/>
        <v>6557.9470700000002</v>
      </c>
      <c r="CA23" s="210">
        <v>10754640.75</v>
      </c>
      <c r="CB23" s="207">
        <f t="shared" si="39"/>
        <v>10754.64075</v>
      </c>
      <c r="CC23" s="207">
        <f t="shared" si="12"/>
        <v>42.792662247700882</v>
      </c>
      <c r="CD23" s="207">
        <f t="shared" si="40"/>
        <v>4196.6936800000003</v>
      </c>
      <c r="CE23" s="207">
        <f t="shared" si="41"/>
        <v>63.994015737001064</v>
      </c>
      <c r="CF23" s="210">
        <v>24885598</v>
      </c>
      <c r="CG23" s="207">
        <f t="shared" si="42"/>
        <v>24885.598000000002</v>
      </c>
      <c r="CH23" s="210">
        <v>20283471.059999999</v>
      </c>
      <c r="CI23" s="207">
        <f t="shared" si="43"/>
        <v>20283.47106</v>
      </c>
      <c r="CJ23" s="207">
        <f t="shared" si="13"/>
        <v>81.506866180189832</v>
      </c>
      <c r="CK23" s="207">
        <v>24694.457620000001</v>
      </c>
      <c r="CL23" s="207">
        <v>3546.6883499999999</v>
      </c>
      <c r="CM23" s="210">
        <v>59357583.420000002</v>
      </c>
      <c r="CN23" s="207">
        <f t="shared" si="44"/>
        <v>59357.583420000003</v>
      </c>
      <c r="CO23" s="210">
        <v>8111227.1600000001</v>
      </c>
      <c r="CP23" s="207">
        <f t="shared" si="45"/>
        <v>8111.2271600000004</v>
      </c>
      <c r="CQ23" s="207">
        <f t="shared" si="14"/>
        <v>34663.125800000002</v>
      </c>
      <c r="CR23" s="207">
        <f t="shared" si="15"/>
        <v>4564.53881</v>
      </c>
      <c r="CS23" s="207">
        <f t="shared" si="16"/>
        <v>-38420.188590000151</v>
      </c>
      <c r="CT23" s="207">
        <f t="shared" si="17"/>
        <v>-32074.83665000007</v>
      </c>
      <c r="CU23" s="207">
        <v>27600</v>
      </c>
      <c r="CV23" s="207">
        <v>39500</v>
      </c>
      <c r="CW23" s="207">
        <f t="shared" si="46"/>
        <v>11900</v>
      </c>
      <c r="CX23" s="206">
        <v>0</v>
      </c>
      <c r="CY23" s="206">
        <v>755636125.41999996</v>
      </c>
      <c r="CZ23" s="206">
        <v>9762093.7799999993</v>
      </c>
      <c r="DA23" s="206">
        <v>55101114.109999999</v>
      </c>
      <c r="DB23" s="207">
        <f t="shared" si="47"/>
        <v>820499.3333099999</v>
      </c>
      <c r="DC23" s="206">
        <v>0</v>
      </c>
      <c r="DD23" s="206">
        <v>572130415.28999996</v>
      </c>
      <c r="DE23" s="206">
        <v>2374740.46</v>
      </c>
      <c r="DF23" s="206">
        <v>32286593.649999999</v>
      </c>
      <c r="DG23" s="207">
        <f t="shared" si="48"/>
        <v>606791.74939999997</v>
      </c>
      <c r="DH23" s="211">
        <f t="shared" si="18"/>
        <v>752989.49716999987</v>
      </c>
      <c r="DI23" s="211">
        <f t="shared" si="19"/>
        <v>569657.54651999997</v>
      </c>
      <c r="DJ23" s="207">
        <f t="shared" si="49"/>
        <v>75.6527878092555</v>
      </c>
      <c r="DK23" s="206">
        <v>144995023.62</v>
      </c>
      <c r="DL23" s="207">
        <f t="shared" si="50"/>
        <v>144995.02361999999</v>
      </c>
      <c r="DM23" s="206">
        <v>118187870.53</v>
      </c>
      <c r="DN23" s="207">
        <f t="shared" si="50"/>
        <v>118187.87053</v>
      </c>
      <c r="DO23" s="210">
        <v>148526.75</v>
      </c>
      <c r="DP23" s="207">
        <f t="shared" si="50"/>
        <v>148.52674999999999</v>
      </c>
      <c r="DQ23" s="210">
        <v>88579.28</v>
      </c>
      <c r="DR23" s="207">
        <f t="shared" si="50"/>
        <v>88.579279999999997</v>
      </c>
      <c r="DS23" s="207">
        <f t="shared" si="51"/>
        <v>-59.947469999999996</v>
      </c>
      <c r="DT23" s="207">
        <v>26730.770690000001</v>
      </c>
      <c r="DU23" s="207">
        <v>5822.0637800000004</v>
      </c>
      <c r="DV23" s="207">
        <v>36442.337899999999</v>
      </c>
      <c r="DW23" s="207">
        <v>5815.9393</v>
      </c>
      <c r="DX23" s="207">
        <f t="shared" si="52"/>
        <v>9711.5672099999974</v>
      </c>
      <c r="DY23" s="207">
        <f t="shared" si="53"/>
        <v>-6.1244800000004034</v>
      </c>
    </row>
    <row r="24" spans="1:129" s="207" customFormat="1" x14ac:dyDescent="0.25">
      <c r="A24" s="205" t="s">
        <v>180</v>
      </c>
      <c r="B24" s="206">
        <v>0</v>
      </c>
      <c r="C24" s="206">
        <v>854764841.63</v>
      </c>
      <c r="D24" s="206">
        <v>0</v>
      </c>
      <c r="E24" s="206">
        <v>87145255.390000001</v>
      </c>
      <c r="F24" s="207">
        <f t="shared" si="20"/>
        <v>941910.09701999999</v>
      </c>
      <c r="G24" s="206">
        <v>0</v>
      </c>
      <c r="H24" s="206">
        <v>635535878.34000003</v>
      </c>
      <c r="I24" s="206">
        <v>0</v>
      </c>
      <c r="J24" s="206">
        <v>63937245.609999999</v>
      </c>
      <c r="K24" s="207">
        <f t="shared" si="0"/>
        <v>699473.12395000004</v>
      </c>
      <c r="L24" s="206">
        <v>54193719.449999996</v>
      </c>
      <c r="M24" s="206">
        <v>0</v>
      </c>
      <c r="N24" s="206">
        <v>66000</v>
      </c>
      <c r="O24" s="207">
        <f t="shared" si="21"/>
        <v>54259.719449999997</v>
      </c>
      <c r="P24" s="206">
        <v>44108707.909999996</v>
      </c>
      <c r="Q24" s="206">
        <v>0</v>
      </c>
      <c r="R24" s="206">
        <v>66000</v>
      </c>
      <c r="S24" s="207">
        <f t="shared" si="22"/>
        <v>44174.707909999997</v>
      </c>
      <c r="T24" s="206">
        <v>0</v>
      </c>
      <c r="U24" s="206">
        <v>865663235.70000005</v>
      </c>
      <c r="V24" s="206">
        <v>0</v>
      </c>
      <c r="W24" s="206">
        <v>91815572.030000001</v>
      </c>
      <c r="X24" s="207">
        <f t="shared" si="1"/>
        <v>957478.80773</v>
      </c>
      <c r="Y24" s="206">
        <v>0</v>
      </c>
      <c r="Z24" s="206">
        <v>635153114.28999996</v>
      </c>
      <c r="AA24" s="206">
        <v>0</v>
      </c>
      <c r="AB24" s="206">
        <v>65718480.310000002</v>
      </c>
      <c r="AC24" s="207">
        <f t="shared" si="23"/>
        <v>700871.59459999995</v>
      </c>
      <c r="AD24" s="207">
        <f t="shared" si="2"/>
        <v>887650.37757000001</v>
      </c>
      <c r="AE24" s="207">
        <f t="shared" si="3"/>
        <v>655298.41604000004</v>
      </c>
      <c r="AF24" s="207">
        <f t="shared" si="24"/>
        <v>73.82393255258016</v>
      </c>
      <c r="AG24" s="208">
        <v>887650</v>
      </c>
      <c r="AH24" s="208">
        <f t="shared" si="25"/>
        <v>-0.37757000001147389</v>
      </c>
      <c r="AI24" s="208">
        <v>655298</v>
      </c>
      <c r="AJ24" s="208">
        <f t="shared" si="26"/>
        <v>-0.41604000004008412</v>
      </c>
      <c r="AK24" s="207">
        <f t="shared" si="4"/>
        <v>903219.08828000003</v>
      </c>
      <c r="AL24" s="207">
        <f t="shared" si="5"/>
        <v>656696.88668999996</v>
      </c>
      <c r="AM24" s="207">
        <f t="shared" si="27"/>
        <v>72.706267528130724</v>
      </c>
      <c r="AN24" s="206">
        <v>0</v>
      </c>
      <c r="AO24" s="206">
        <v>728401849.40999997</v>
      </c>
      <c r="AP24" s="206">
        <v>0</v>
      </c>
      <c r="AQ24" s="206">
        <v>54193719.450000003</v>
      </c>
      <c r="AR24" s="209">
        <f t="shared" si="6"/>
        <v>0</v>
      </c>
      <c r="AS24" s="207">
        <f t="shared" si="28"/>
        <v>782595.56886</v>
      </c>
      <c r="AT24" s="206">
        <v>0</v>
      </c>
      <c r="AU24" s="206">
        <v>542708402.54999995</v>
      </c>
      <c r="AV24" s="206">
        <v>0</v>
      </c>
      <c r="AW24" s="206">
        <v>44108707.909999996</v>
      </c>
      <c r="AX24" s="209">
        <f t="shared" si="7"/>
        <v>0</v>
      </c>
      <c r="AY24" s="207">
        <f t="shared" si="29"/>
        <v>586817.11045999988</v>
      </c>
      <c r="AZ24" s="207">
        <f t="shared" si="8"/>
        <v>728335.84941000002</v>
      </c>
      <c r="BA24" s="207">
        <f t="shared" si="9"/>
        <v>542642.40254999988</v>
      </c>
      <c r="BB24" s="207">
        <f t="shared" si="30"/>
        <v>74.504420315102706</v>
      </c>
      <c r="BC24" s="206">
        <v>0</v>
      </c>
      <c r="BD24" s="206">
        <v>127757590</v>
      </c>
      <c r="BE24" s="206">
        <v>0</v>
      </c>
      <c r="BF24" s="206">
        <v>34924307.090000004</v>
      </c>
      <c r="BG24" s="207">
        <f t="shared" si="31"/>
        <v>162681.89709000001</v>
      </c>
      <c r="BH24" s="206">
        <v>0</v>
      </c>
      <c r="BI24" s="206">
        <v>94222073.569999993</v>
      </c>
      <c r="BJ24" s="206">
        <v>0</v>
      </c>
      <c r="BK24" s="206">
        <v>21801308.850000001</v>
      </c>
      <c r="BL24" s="207">
        <f t="shared" si="32"/>
        <v>116023.38241999998</v>
      </c>
      <c r="BM24" s="210">
        <v>18023000</v>
      </c>
      <c r="BN24" s="207">
        <f t="shared" si="33"/>
        <v>18023</v>
      </c>
      <c r="BO24" s="210">
        <v>12303973.050000001</v>
      </c>
      <c r="BP24" s="207">
        <f t="shared" si="34"/>
        <v>12303.973050000001</v>
      </c>
      <c r="BQ24" s="207">
        <f t="shared" si="10"/>
        <v>68.268174277312326</v>
      </c>
      <c r="BR24" s="210">
        <v>11209293.359999999</v>
      </c>
      <c r="BS24" s="207">
        <f t="shared" si="35"/>
        <v>11209.29336</v>
      </c>
      <c r="BT24" s="375">
        <v>11056373.66</v>
      </c>
      <c r="BU24" s="207">
        <f t="shared" si="36"/>
        <v>11056.373659999999</v>
      </c>
      <c r="BV24" s="207">
        <f t="shared" si="11"/>
        <v>98.635777518806947</v>
      </c>
      <c r="BW24" s="210">
        <v>12494000</v>
      </c>
      <c r="BX24" s="207">
        <f t="shared" si="37"/>
        <v>12494</v>
      </c>
      <c r="BY24" s="210">
        <v>4669113.25</v>
      </c>
      <c r="BZ24" s="207">
        <f t="shared" si="38"/>
        <v>4669.1132500000003</v>
      </c>
      <c r="CA24" s="210">
        <v>4593712.79</v>
      </c>
      <c r="CB24" s="207">
        <f t="shared" si="39"/>
        <v>4593.7127899999996</v>
      </c>
      <c r="CC24" s="207">
        <f t="shared" si="12"/>
        <v>36.767350648311186</v>
      </c>
      <c r="CD24" s="207">
        <f t="shared" si="40"/>
        <v>-75.400460000000749</v>
      </c>
      <c r="CE24" s="207">
        <f t="shared" si="41"/>
        <v>-1.6148775144830836</v>
      </c>
      <c r="CF24" s="210">
        <v>15767848.6</v>
      </c>
      <c r="CG24" s="207">
        <f t="shared" si="42"/>
        <v>15767.848599999999</v>
      </c>
      <c r="CH24" s="210">
        <v>13627044.609999999</v>
      </c>
      <c r="CI24" s="207">
        <f t="shared" si="43"/>
        <v>13627.044609999999</v>
      </c>
      <c r="CJ24" s="207">
        <f t="shared" si="13"/>
        <v>86.422979797002867</v>
      </c>
      <c r="CK24" s="207">
        <v>31892.288530000002</v>
      </c>
      <c r="CL24" s="207">
        <v>3378.5789300000001</v>
      </c>
      <c r="CM24" s="210">
        <v>75088897.599999994</v>
      </c>
      <c r="CN24" s="207">
        <f t="shared" si="44"/>
        <v>75088.897599999997</v>
      </c>
      <c r="CO24" s="210">
        <v>1090829.92</v>
      </c>
      <c r="CP24" s="207">
        <f t="shared" si="45"/>
        <v>1090.8299199999999</v>
      </c>
      <c r="CQ24" s="207">
        <f t="shared" si="14"/>
        <v>43196.609069999991</v>
      </c>
      <c r="CR24" s="207">
        <f t="shared" si="15"/>
        <v>-2287.7490100000005</v>
      </c>
      <c r="CS24" s="207">
        <f t="shared" si="16"/>
        <v>-15568.710710000014</v>
      </c>
      <c r="CT24" s="207">
        <f t="shared" si="17"/>
        <v>-1398.4706499999156</v>
      </c>
      <c r="CU24" s="207">
        <v>0</v>
      </c>
      <c r="CV24" s="211">
        <v>0</v>
      </c>
      <c r="CW24" s="207">
        <f t="shared" si="46"/>
        <v>0</v>
      </c>
      <c r="CX24" s="206">
        <v>0</v>
      </c>
      <c r="CY24" s="206">
        <v>727007251.63</v>
      </c>
      <c r="CZ24" s="206">
        <v>0</v>
      </c>
      <c r="DA24" s="206">
        <v>52220948.299999997</v>
      </c>
      <c r="DB24" s="207">
        <f t="shared" si="47"/>
        <v>779228.19993</v>
      </c>
      <c r="DC24" s="206">
        <v>0</v>
      </c>
      <c r="DD24" s="206">
        <v>541313804.76999998</v>
      </c>
      <c r="DE24" s="206">
        <v>0</v>
      </c>
      <c r="DF24" s="206">
        <v>42135936.759999998</v>
      </c>
      <c r="DG24" s="207">
        <f t="shared" si="48"/>
        <v>583449.74153</v>
      </c>
      <c r="DH24" s="211">
        <f t="shared" si="18"/>
        <v>724968.48048000003</v>
      </c>
      <c r="DI24" s="211">
        <f t="shared" si="19"/>
        <v>539275.03362</v>
      </c>
      <c r="DJ24" s="207">
        <f t="shared" si="49"/>
        <v>74.385997204036684</v>
      </c>
      <c r="DK24" s="206">
        <v>75288000</v>
      </c>
      <c r="DL24" s="207">
        <f t="shared" si="50"/>
        <v>75288</v>
      </c>
      <c r="DM24" s="206">
        <v>51318820.619999997</v>
      </c>
      <c r="DN24" s="207">
        <f t="shared" si="50"/>
        <v>51318.820619999999</v>
      </c>
      <c r="DO24" s="210">
        <v>450455.7</v>
      </c>
      <c r="DP24" s="207">
        <f t="shared" si="50"/>
        <v>450.45570000000004</v>
      </c>
      <c r="DQ24" s="210">
        <v>879309.65</v>
      </c>
      <c r="DR24" s="207">
        <f t="shared" si="50"/>
        <v>879.30965000000003</v>
      </c>
      <c r="DS24" s="207">
        <f t="shared" si="51"/>
        <v>428.85395</v>
      </c>
      <c r="DT24" s="207">
        <v>9738.2990600000012</v>
      </c>
      <c r="DU24" s="207">
        <v>299.80041</v>
      </c>
      <c r="DV24" s="207">
        <v>15050.6638</v>
      </c>
      <c r="DW24" s="207">
        <v>0</v>
      </c>
      <c r="DX24" s="207">
        <f t="shared" si="52"/>
        <v>5312.3647399999991</v>
      </c>
      <c r="DY24" s="207">
        <f t="shared" si="53"/>
        <v>-299.80041</v>
      </c>
    </row>
    <row r="25" spans="1:129" s="207" customFormat="1" x14ac:dyDescent="0.25">
      <c r="A25" s="205" t="s">
        <v>181</v>
      </c>
      <c r="B25" s="206">
        <v>0</v>
      </c>
      <c r="C25" s="206">
        <v>354657463.60000002</v>
      </c>
      <c r="D25" s="206">
        <v>26894037</v>
      </c>
      <c r="E25" s="206">
        <v>18591242</v>
      </c>
      <c r="F25" s="207">
        <f t="shared" si="20"/>
        <v>400142.7426</v>
      </c>
      <c r="G25" s="206">
        <v>0</v>
      </c>
      <c r="H25" s="206">
        <v>250655450.97999999</v>
      </c>
      <c r="I25" s="206">
        <v>11989035.720000001</v>
      </c>
      <c r="J25" s="206">
        <v>9724446.0500000007</v>
      </c>
      <c r="K25" s="207">
        <f t="shared" si="0"/>
        <v>272368.93274999998</v>
      </c>
      <c r="L25" s="206">
        <v>19349479</v>
      </c>
      <c r="M25" s="206">
        <v>178000</v>
      </c>
      <c r="N25" s="206">
        <v>90000</v>
      </c>
      <c r="O25" s="207">
        <f t="shared" si="21"/>
        <v>19617.478999999999</v>
      </c>
      <c r="P25" s="206">
        <v>9336842.9399999995</v>
      </c>
      <c r="Q25" s="206">
        <v>133500</v>
      </c>
      <c r="R25" s="206">
        <v>40500</v>
      </c>
      <c r="S25" s="207">
        <f t="shared" si="22"/>
        <v>9510.8429399999986</v>
      </c>
      <c r="T25" s="206">
        <v>0</v>
      </c>
      <c r="U25" s="206">
        <v>358790450.97000003</v>
      </c>
      <c r="V25" s="206">
        <v>27483357.359999999</v>
      </c>
      <c r="W25" s="206">
        <v>19553954.210000001</v>
      </c>
      <c r="X25" s="207">
        <f t="shared" si="1"/>
        <v>405827.76254000003</v>
      </c>
      <c r="Y25" s="206">
        <v>0</v>
      </c>
      <c r="Z25" s="206">
        <v>253060067.38</v>
      </c>
      <c r="AA25" s="206">
        <v>13250929.4</v>
      </c>
      <c r="AB25" s="206">
        <v>11720913.369999999</v>
      </c>
      <c r="AC25" s="207">
        <f t="shared" si="23"/>
        <v>278031.91014999995</v>
      </c>
      <c r="AD25" s="207">
        <f t="shared" si="2"/>
        <v>380525.26360000001</v>
      </c>
      <c r="AE25" s="207">
        <f t="shared" si="3"/>
        <v>262858.08980999998</v>
      </c>
      <c r="AF25" s="207">
        <f t="shared" si="24"/>
        <v>69.077697318491516</v>
      </c>
      <c r="AG25" s="208">
        <v>380525</v>
      </c>
      <c r="AH25" s="208">
        <f t="shared" si="25"/>
        <v>-0.26360000000568107</v>
      </c>
      <c r="AI25" s="208">
        <v>262858</v>
      </c>
      <c r="AJ25" s="208">
        <f t="shared" si="26"/>
        <v>-8.9809999975841492E-2</v>
      </c>
      <c r="AK25" s="207">
        <f t="shared" si="4"/>
        <v>386210.28354000003</v>
      </c>
      <c r="AL25" s="207">
        <f t="shared" si="5"/>
        <v>268521.06720999995</v>
      </c>
      <c r="AM25" s="207">
        <f t="shared" si="27"/>
        <v>69.527166586228162</v>
      </c>
      <c r="AN25" s="206">
        <v>0</v>
      </c>
      <c r="AO25" s="206">
        <v>297183264.60000002</v>
      </c>
      <c r="AP25" s="206">
        <v>8882637</v>
      </c>
      <c r="AQ25" s="206">
        <v>10466842</v>
      </c>
      <c r="AR25" s="209">
        <f t="shared" si="6"/>
        <v>0</v>
      </c>
      <c r="AS25" s="207">
        <f t="shared" si="28"/>
        <v>316532.74360000005</v>
      </c>
      <c r="AT25" s="206">
        <v>0</v>
      </c>
      <c r="AU25" s="206">
        <v>211376520.65000001</v>
      </c>
      <c r="AV25" s="206">
        <v>1477937</v>
      </c>
      <c r="AW25" s="206">
        <v>7858905.9400000004</v>
      </c>
      <c r="AX25" s="209">
        <f t="shared" si="7"/>
        <v>0</v>
      </c>
      <c r="AY25" s="207">
        <f t="shared" si="29"/>
        <v>220713.36358999999</v>
      </c>
      <c r="AZ25" s="207">
        <f t="shared" si="8"/>
        <v>296915.26460000005</v>
      </c>
      <c r="BA25" s="207">
        <f t="shared" si="9"/>
        <v>211202.52064999999</v>
      </c>
      <c r="BB25" s="207">
        <f t="shared" si="30"/>
        <v>71.132254158279466</v>
      </c>
      <c r="BC25" s="206">
        <v>0</v>
      </c>
      <c r="BD25" s="206">
        <v>57570758</v>
      </c>
      <c r="BE25" s="206">
        <v>18011400</v>
      </c>
      <c r="BF25" s="206">
        <v>8125400</v>
      </c>
      <c r="BG25" s="207">
        <f t="shared" si="31"/>
        <v>83707.558000000005</v>
      </c>
      <c r="BH25" s="206">
        <v>0</v>
      </c>
      <c r="BI25" s="206">
        <v>39375489.329999998</v>
      </c>
      <c r="BJ25" s="206">
        <v>10511098.720000001</v>
      </c>
      <c r="BK25" s="206">
        <v>1866540.11</v>
      </c>
      <c r="BL25" s="207">
        <f t="shared" si="32"/>
        <v>51753.128159999993</v>
      </c>
      <c r="BM25" s="210">
        <v>8997500</v>
      </c>
      <c r="BN25" s="207">
        <f t="shared" si="33"/>
        <v>8997.5</v>
      </c>
      <c r="BO25" s="210">
        <v>6544148.29</v>
      </c>
      <c r="BP25" s="207">
        <f t="shared" si="34"/>
        <v>6544.1482900000001</v>
      </c>
      <c r="BQ25" s="207">
        <f t="shared" si="10"/>
        <v>72.732962378438458</v>
      </c>
      <c r="BR25" s="210">
        <v>467000</v>
      </c>
      <c r="BS25" s="207">
        <f t="shared" si="35"/>
        <v>467</v>
      </c>
      <c r="BT25" s="375">
        <v>478571.92</v>
      </c>
      <c r="BU25" s="207">
        <f t="shared" si="36"/>
        <v>478.57191999999998</v>
      </c>
      <c r="BV25" s="207">
        <f t="shared" si="11"/>
        <v>102.47792719486081</v>
      </c>
      <c r="BW25" s="210">
        <v>12152000</v>
      </c>
      <c r="BX25" s="207">
        <f t="shared" si="37"/>
        <v>12152</v>
      </c>
      <c r="BY25" s="210">
        <v>2098617.7999999998</v>
      </c>
      <c r="BZ25" s="207">
        <f t="shared" si="38"/>
        <v>2098.6178</v>
      </c>
      <c r="CA25" s="210">
        <v>2856681.44</v>
      </c>
      <c r="CB25" s="207">
        <f t="shared" si="39"/>
        <v>2856.6814399999998</v>
      </c>
      <c r="CC25" s="207">
        <f t="shared" si="12"/>
        <v>23.507911784068465</v>
      </c>
      <c r="CD25" s="207">
        <f t="shared" si="40"/>
        <v>758.06363999999985</v>
      </c>
      <c r="CE25" s="207">
        <f t="shared" si="41"/>
        <v>36.122043756609713</v>
      </c>
      <c r="CF25" s="210">
        <v>13125200</v>
      </c>
      <c r="CG25" s="207">
        <f t="shared" si="42"/>
        <v>13125.2</v>
      </c>
      <c r="CH25" s="210">
        <v>7285607.3799999999</v>
      </c>
      <c r="CI25" s="207">
        <f t="shared" si="43"/>
        <v>7285.6073799999995</v>
      </c>
      <c r="CJ25" s="207">
        <f t="shared" si="13"/>
        <v>55.508543717429056</v>
      </c>
      <c r="CK25" s="207">
        <v>28563.21675</v>
      </c>
      <c r="CL25" s="207">
        <v>96.801000000000002</v>
      </c>
      <c r="CM25" s="210">
        <v>46452151.210000001</v>
      </c>
      <c r="CN25" s="207">
        <f t="shared" si="44"/>
        <v>46452.151210000004</v>
      </c>
      <c r="CO25" s="210">
        <v>514034.12</v>
      </c>
      <c r="CP25" s="207">
        <f t="shared" si="45"/>
        <v>514.03412000000003</v>
      </c>
      <c r="CQ25" s="207">
        <f t="shared" si="14"/>
        <v>17888.934460000004</v>
      </c>
      <c r="CR25" s="207">
        <f t="shared" si="15"/>
        <v>417.23312000000004</v>
      </c>
      <c r="CS25" s="207">
        <f t="shared" si="16"/>
        <v>-5685.0199400000274</v>
      </c>
      <c r="CT25" s="207">
        <f t="shared" si="17"/>
        <v>-5662.9773999999743</v>
      </c>
      <c r="CU25" s="207">
        <v>0</v>
      </c>
      <c r="CV25" s="211">
        <v>0</v>
      </c>
      <c r="CW25" s="207">
        <f t="shared" si="46"/>
        <v>0</v>
      </c>
      <c r="CX25" s="206">
        <v>0</v>
      </c>
      <c r="CY25" s="206">
        <v>297086705.60000002</v>
      </c>
      <c r="CZ25" s="206">
        <v>8882637</v>
      </c>
      <c r="DA25" s="206">
        <v>10465842</v>
      </c>
      <c r="DB25" s="207">
        <f t="shared" si="47"/>
        <v>316435.18460000004</v>
      </c>
      <c r="DC25" s="206">
        <v>0</v>
      </c>
      <c r="DD25" s="206">
        <v>211279961.65000001</v>
      </c>
      <c r="DE25" s="206">
        <v>1477937</v>
      </c>
      <c r="DF25" s="206">
        <v>7857905.9400000004</v>
      </c>
      <c r="DG25" s="207">
        <f t="shared" si="48"/>
        <v>220615.80459000001</v>
      </c>
      <c r="DH25" s="211">
        <f t="shared" si="18"/>
        <v>296817.70560000004</v>
      </c>
      <c r="DI25" s="211">
        <f t="shared" si="19"/>
        <v>211104.96165000001</v>
      </c>
      <c r="DJ25" s="207">
        <f t="shared" si="49"/>
        <v>71.122765814547137</v>
      </c>
      <c r="DK25" s="206">
        <v>35743000</v>
      </c>
      <c r="DL25" s="207">
        <f t="shared" si="50"/>
        <v>35743</v>
      </c>
      <c r="DM25" s="206">
        <v>25326462.739999998</v>
      </c>
      <c r="DN25" s="207">
        <f t="shared" si="50"/>
        <v>25326.462739999999</v>
      </c>
      <c r="DO25" s="210">
        <v>7082.25</v>
      </c>
      <c r="DP25" s="207">
        <f t="shared" si="50"/>
        <v>7.0822500000000002</v>
      </c>
      <c r="DQ25" s="210">
        <v>2153.69</v>
      </c>
      <c r="DR25" s="207">
        <f t="shared" si="50"/>
        <v>2.1536900000000001</v>
      </c>
      <c r="DS25" s="207">
        <f t="shared" si="51"/>
        <v>-4.9285600000000001</v>
      </c>
      <c r="DT25" s="207">
        <v>961.08338000000003</v>
      </c>
      <c r="DU25" s="207">
        <v>0</v>
      </c>
      <c r="DV25" s="207">
        <v>10007.867</v>
      </c>
      <c r="DW25" s="207">
        <v>64.377700000000004</v>
      </c>
      <c r="DX25" s="207">
        <f t="shared" si="52"/>
        <v>9046.7836200000002</v>
      </c>
      <c r="DY25" s="207">
        <f t="shared" si="53"/>
        <v>64.377700000000004</v>
      </c>
    </row>
    <row r="26" spans="1:129" s="207" customFormat="1" x14ac:dyDescent="0.25">
      <c r="A26" s="205" t="s">
        <v>182</v>
      </c>
      <c r="B26" s="206">
        <v>8262268050.7399998</v>
      </c>
      <c r="C26" s="206">
        <v>0</v>
      </c>
      <c r="D26" s="206">
        <v>0</v>
      </c>
      <c r="E26" s="206">
        <v>0</v>
      </c>
      <c r="F26" s="207">
        <f t="shared" si="20"/>
        <v>8262268.0507399999</v>
      </c>
      <c r="G26" s="206">
        <v>5427905640.0500002</v>
      </c>
      <c r="H26" s="206">
        <v>0</v>
      </c>
      <c r="I26" s="206">
        <v>0</v>
      </c>
      <c r="J26" s="206">
        <v>0</v>
      </c>
      <c r="K26" s="207">
        <f t="shared" si="0"/>
        <v>5427905.6400500005</v>
      </c>
      <c r="L26" s="206">
        <v>0</v>
      </c>
      <c r="M26" s="206">
        <v>0</v>
      </c>
      <c r="N26" s="206">
        <v>0</v>
      </c>
      <c r="O26" s="207">
        <f t="shared" si="21"/>
        <v>0</v>
      </c>
      <c r="P26" s="206">
        <v>0</v>
      </c>
      <c r="Q26" s="206">
        <v>0</v>
      </c>
      <c r="R26" s="206">
        <v>0</v>
      </c>
      <c r="S26" s="207">
        <f t="shared" si="22"/>
        <v>0</v>
      </c>
      <c r="T26" s="206">
        <v>8493180346.8400002</v>
      </c>
      <c r="U26" s="206">
        <v>0</v>
      </c>
      <c r="V26" s="206">
        <v>0</v>
      </c>
      <c r="W26" s="206">
        <v>0</v>
      </c>
      <c r="X26" s="207">
        <f t="shared" si="1"/>
        <v>8493180.3468399998</v>
      </c>
      <c r="Y26" s="206">
        <v>5216115690.5900002</v>
      </c>
      <c r="Z26" s="206">
        <v>0</v>
      </c>
      <c r="AA26" s="206">
        <v>0</v>
      </c>
      <c r="AB26" s="206">
        <v>0</v>
      </c>
      <c r="AC26" s="207">
        <f t="shared" si="23"/>
        <v>5216115.6905899998</v>
      </c>
      <c r="AD26" s="207">
        <f t="shared" si="2"/>
        <v>8262268.0507399999</v>
      </c>
      <c r="AE26" s="207">
        <f t="shared" si="3"/>
        <v>5427905.6400500005</v>
      </c>
      <c r="AF26" s="207">
        <f t="shared" si="24"/>
        <v>65.695104621591852</v>
      </c>
      <c r="AG26" s="208">
        <v>8262268</v>
      </c>
      <c r="AH26" s="208">
        <f t="shared" si="25"/>
        <v>-5.0739999860525131E-2</v>
      </c>
      <c r="AI26" s="208">
        <v>5427906</v>
      </c>
      <c r="AJ26" s="208">
        <f t="shared" si="26"/>
        <v>0.35994999948889017</v>
      </c>
      <c r="AK26" s="207">
        <f t="shared" si="4"/>
        <v>8493180.3468399998</v>
      </c>
      <c r="AL26" s="207">
        <f t="shared" si="5"/>
        <v>5216115.6905899998</v>
      </c>
      <c r="AM26" s="207">
        <f t="shared" si="27"/>
        <v>61.415341221745329</v>
      </c>
      <c r="AN26" s="206">
        <v>3982292943.6500001</v>
      </c>
      <c r="AO26" s="206">
        <v>0</v>
      </c>
      <c r="AP26" s="206">
        <v>0</v>
      </c>
      <c r="AQ26" s="206">
        <v>0</v>
      </c>
      <c r="AR26" s="209">
        <f t="shared" si="6"/>
        <v>0</v>
      </c>
      <c r="AS26" s="207">
        <f t="shared" si="28"/>
        <v>3982292.9436500003</v>
      </c>
      <c r="AT26" s="206">
        <v>2379096655.5599999</v>
      </c>
      <c r="AU26" s="206">
        <v>0</v>
      </c>
      <c r="AV26" s="206">
        <v>0</v>
      </c>
      <c r="AW26" s="206">
        <v>0</v>
      </c>
      <c r="AX26" s="209">
        <f t="shared" si="7"/>
        <v>0</v>
      </c>
      <c r="AY26" s="207">
        <f t="shared" si="29"/>
        <v>2379096.6555599999</v>
      </c>
      <c r="AZ26" s="207">
        <f t="shared" si="8"/>
        <v>3982292.9436500003</v>
      </c>
      <c r="BA26" s="207">
        <f t="shared" si="9"/>
        <v>2379096.6555599999</v>
      </c>
      <c r="BB26" s="207">
        <f t="shared" si="30"/>
        <v>59.74187959611583</v>
      </c>
      <c r="BC26" s="206">
        <v>4304947482.6700001</v>
      </c>
      <c r="BD26" s="206">
        <v>0</v>
      </c>
      <c r="BE26" s="206">
        <v>0</v>
      </c>
      <c r="BF26" s="206">
        <v>0</v>
      </c>
      <c r="BG26" s="207">
        <f t="shared" si="31"/>
        <v>4304947.4826699998</v>
      </c>
      <c r="BH26" s="206">
        <v>3073780651.5300002</v>
      </c>
      <c r="BI26" s="206">
        <v>0</v>
      </c>
      <c r="BJ26" s="206">
        <v>0</v>
      </c>
      <c r="BK26" s="206">
        <v>0</v>
      </c>
      <c r="BL26" s="207">
        <f t="shared" si="32"/>
        <v>3073780.6515300004</v>
      </c>
      <c r="BM26" s="210">
        <v>499300000</v>
      </c>
      <c r="BN26" s="207">
        <f t="shared" si="33"/>
        <v>499300</v>
      </c>
      <c r="BO26" s="210">
        <v>363824526.68000001</v>
      </c>
      <c r="BP26" s="207">
        <f t="shared" si="34"/>
        <v>363824.52668000001</v>
      </c>
      <c r="BQ26" s="207">
        <f t="shared" si="10"/>
        <v>72.866919022631691</v>
      </c>
      <c r="BR26" s="210">
        <v>143613342</v>
      </c>
      <c r="BS26" s="207">
        <f t="shared" si="35"/>
        <v>143613.342</v>
      </c>
      <c r="BT26" s="375">
        <v>118725163.56999999</v>
      </c>
      <c r="BU26" s="207">
        <f t="shared" si="36"/>
        <v>118725.16356999999</v>
      </c>
      <c r="BV26" s="207">
        <f t="shared" si="11"/>
        <v>82.670009566381367</v>
      </c>
      <c r="BW26" s="210">
        <v>218546000</v>
      </c>
      <c r="BX26" s="207">
        <f t="shared" si="37"/>
        <v>218546</v>
      </c>
      <c r="BY26" s="210">
        <v>137495927.13</v>
      </c>
      <c r="BZ26" s="207">
        <f t="shared" si="38"/>
        <v>137495.92713</v>
      </c>
      <c r="CA26" s="210">
        <v>112686756.13</v>
      </c>
      <c r="CB26" s="207">
        <f t="shared" si="39"/>
        <v>112686.75612999999</v>
      </c>
      <c r="CC26" s="207">
        <f t="shared" si="12"/>
        <v>51.562030936278859</v>
      </c>
      <c r="CD26" s="207">
        <f t="shared" si="40"/>
        <v>-24809.171000000002</v>
      </c>
      <c r="CE26" s="207">
        <f t="shared" si="41"/>
        <v>-18.043567920774379</v>
      </c>
      <c r="CF26" s="210">
        <v>341583694</v>
      </c>
      <c r="CG26" s="207">
        <f t="shared" si="42"/>
        <v>341583.69400000002</v>
      </c>
      <c r="CH26" s="210">
        <v>288055091.81999999</v>
      </c>
      <c r="CI26" s="207">
        <f t="shared" si="43"/>
        <v>288055.09181999997</v>
      </c>
      <c r="CJ26" s="207">
        <f t="shared" si="13"/>
        <v>84.329286461782914</v>
      </c>
      <c r="CK26" s="207">
        <v>23609.369989999999</v>
      </c>
      <c r="CL26" s="207">
        <v>3911.0231400000002</v>
      </c>
      <c r="CM26" s="210">
        <v>302717576.99000001</v>
      </c>
      <c r="CN26" s="207">
        <f t="shared" si="44"/>
        <v>302717.57699000003</v>
      </c>
      <c r="CO26" s="210">
        <v>337684.23</v>
      </c>
      <c r="CP26" s="207">
        <f t="shared" si="45"/>
        <v>337.68422999999996</v>
      </c>
      <c r="CQ26" s="207">
        <f t="shared" si="14"/>
        <v>279108.20700000005</v>
      </c>
      <c r="CR26" s="207">
        <f t="shared" si="15"/>
        <v>-3573.3389100000004</v>
      </c>
      <c r="CS26" s="207">
        <f t="shared" si="16"/>
        <v>-230912.29609999992</v>
      </c>
      <c r="CT26" s="207">
        <f t="shared" si="17"/>
        <v>211789.94946000073</v>
      </c>
      <c r="CU26" s="207">
        <v>1579000</v>
      </c>
      <c r="CV26" s="211">
        <v>1363014</v>
      </c>
      <c r="CW26" s="207">
        <f t="shared" si="46"/>
        <v>-215986</v>
      </c>
      <c r="CX26" s="206">
        <v>3957320568.0700002</v>
      </c>
      <c r="CY26" s="206">
        <v>0</v>
      </c>
      <c r="CZ26" s="206">
        <v>0</v>
      </c>
      <c r="DA26" s="206">
        <v>0</v>
      </c>
      <c r="DB26" s="207">
        <f t="shared" si="47"/>
        <v>3957320.56807</v>
      </c>
      <c r="DC26" s="206">
        <v>2354124988.52</v>
      </c>
      <c r="DD26" s="206">
        <v>0</v>
      </c>
      <c r="DE26" s="206">
        <v>0</v>
      </c>
      <c r="DF26" s="206">
        <v>0</v>
      </c>
      <c r="DG26" s="207">
        <f t="shared" si="48"/>
        <v>2354124.9885200001</v>
      </c>
      <c r="DH26" s="211">
        <f t="shared" si="18"/>
        <v>3957320.56807</v>
      </c>
      <c r="DI26" s="211">
        <f t="shared" si="19"/>
        <v>2354124.9885200001</v>
      </c>
      <c r="DJ26" s="207">
        <f t="shared" si="49"/>
        <v>59.487851641700985</v>
      </c>
      <c r="DK26" s="206">
        <v>2891074500</v>
      </c>
      <c r="DL26" s="207">
        <f t="shared" si="50"/>
        <v>2891074.5</v>
      </c>
      <c r="DM26" s="206">
        <v>1991961808.97</v>
      </c>
      <c r="DN26" s="207">
        <f t="shared" si="50"/>
        <v>1991961.8089700001</v>
      </c>
      <c r="DO26" s="210">
        <v>129703480.8</v>
      </c>
      <c r="DP26" s="207">
        <f t="shared" si="50"/>
        <v>129703.48079999999</v>
      </c>
      <c r="DQ26" s="210">
        <v>79010273.799999997</v>
      </c>
      <c r="DR26" s="207">
        <f t="shared" si="50"/>
        <v>79010.273799999995</v>
      </c>
      <c r="DS26" s="207">
        <f t="shared" si="51"/>
        <v>-50693.206999999995</v>
      </c>
      <c r="DT26" s="207">
        <v>197516.90841999999</v>
      </c>
      <c r="DU26" s="207">
        <v>9058.7393000000011</v>
      </c>
      <c r="DV26" s="207">
        <v>713976.77560000005</v>
      </c>
      <c r="DW26" s="207">
        <v>28536.266899999999</v>
      </c>
      <c r="DX26" s="207">
        <f t="shared" si="52"/>
        <v>516459.86718000006</v>
      </c>
      <c r="DY26" s="207">
        <f t="shared" si="53"/>
        <v>19477.527599999998</v>
      </c>
    </row>
    <row r="27" spans="1:129" s="207" customFormat="1" x14ac:dyDescent="0.25">
      <c r="A27" s="205" t="s">
        <v>183</v>
      </c>
      <c r="B27" s="206">
        <v>6360043430.6499996</v>
      </c>
      <c r="C27" s="206">
        <v>0</v>
      </c>
      <c r="D27" s="206">
        <v>0</v>
      </c>
      <c r="E27" s="206">
        <v>0</v>
      </c>
      <c r="F27" s="207">
        <f t="shared" si="20"/>
        <v>6360043.4306499995</v>
      </c>
      <c r="G27" s="206">
        <v>4615154225.1400003</v>
      </c>
      <c r="H27" s="206">
        <v>0</v>
      </c>
      <c r="I27" s="206">
        <v>0</v>
      </c>
      <c r="J27" s="206">
        <v>0</v>
      </c>
      <c r="K27" s="207">
        <f t="shared" si="0"/>
        <v>4615154.2251400007</v>
      </c>
      <c r="L27" s="206">
        <v>0</v>
      </c>
      <c r="M27" s="206">
        <v>0</v>
      </c>
      <c r="N27" s="206">
        <v>0</v>
      </c>
      <c r="O27" s="207">
        <f t="shared" si="21"/>
        <v>0</v>
      </c>
      <c r="P27" s="206">
        <v>0</v>
      </c>
      <c r="Q27" s="206">
        <v>0</v>
      </c>
      <c r="R27" s="206">
        <v>0</v>
      </c>
      <c r="S27" s="207">
        <f t="shared" si="22"/>
        <v>0</v>
      </c>
      <c r="T27" s="206">
        <v>6584311306.0799999</v>
      </c>
      <c r="U27" s="206">
        <v>0</v>
      </c>
      <c r="V27" s="206">
        <v>0</v>
      </c>
      <c r="W27" s="206">
        <v>0</v>
      </c>
      <c r="X27" s="207">
        <f t="shared" si="1"/>
        <v>6584311.3060799995</v>
      </c>
      <c r="Y27" s="206">
        <v>4621912736.5</v>
      </c>
      <c r="Z27" s="206">
        <v>0</v>
      </c>
      <c r="AA27" s="206">
        <v>0</v>
      </c>
      <c r="AB27" s="206">
        <v>0</v>
      </c>
      <c r="AC27" s="207">
        <f t="shared" si="23"/>
        <v>4621912.7364999996</v>
      </c>
      <c r="AD27" s="207">
        <f t="shared" si="2"/>
        <v>6360043.4306499995</v>
      </c>
      <c r="AE27" s="207">
        <f t="shared" si="3"/>
        <v>4615154.2251400007</v>
      </c>
      <c r="AF27" s="207">
        <f t="shared" si="24"/>
        <v>72.564822480596334</v>
      </c>
      <c r="AG27" s="208">
        <v>6360043</v>
      </c>
      <c r="AH27" s="208">
        <f t="shared" si="25"/>
        <v>-0.43064999952912331</v>
      </c>
      <c r="AI27" s="208">
        <v>4615154</v>
      </c>
      <c r="AJ27" s="208">
        <f t="shared" si="26"/>
        <v>-0.22514000069350004</v>
      </c>
      <c r="AK27" s="207">
        <f t="shared" si="4"/>
        <v>6584311.3060799995</v>
      </c>
      <c r="AL27" s="207">
        <f t="shared" si="5"/>
        <v>4621912.7364999996</v>
      </c>
      <c r="AM27" s="207">
        <f t="shared" si="27"/>
        <v>70.195841624804302</v>
      </c>
      <c r="AN27" s="206">
        <v>3074455574.4000001</v>
      </c>
      <c r="AO27" s="206">
        <v>0</v>
      </c>
      <c r="AP27" s="206">
        <v>0</v>
      </c>
      <c r="AQ27" s="206">
        <v>0</v>
      </c>
      <c r="AR27" s="209">
        <f t="shared" si="6"/>
        <v>0</v>
      </c>
      <c r="AS27" s="207">
        <f t="shared" si="28"/>
        <v>3074455.5744000003</v>
      </c>
      <c r="AT27" s="206">
        <v>2276627194.4200001</v>
      </c>
      <c r="AU27" s="206">
        <v>0</v>
      </c>
      <c r="AV27" s="206">
        <v>0</v>
      </c>
      <c r="AW27" s="206">
        <v>0</v>
      </c>
      <c r="AX27" s="209">
        <f t="shared" si="7"/>
        <v>0</v>
      </c>
      <c r="AY27" s="207">
        <f t="shared" si="29"/>
        <v>2276627.1944200001</v>
      </c>
      <c r="AZ27" s="207">
        <f t="shared" si="8"/>
        <v>3074455.5744000003</v>
      </c>
      <c r="BA27" s="207">
        <f t="shared" si="9"/>
        <v>2276627.1944200001</v>
      </c>
      <c r="BB27" s="207">
        <f t="shared" si="30"/>
        <v>74.049767164526315</v>
      </c>
      <c r="BC27" s="206">
        <v>3318139957.1500001</v>
      </c>
      <c r="BD27" s="206">
        <v>0</v>
      </c>
      <c r="BE27" s="206">
        <v>0</v>
      </c>
      <c r="BF27" s="206">
        <v>0</v>
      </c>
      <c r="BG27" s="207">
        <f t="shared" si="31"/>
        <v>3318139.9571500001</v>
      </c>
      <c r="BH27" s="206">
        <v>2371072160.8699999</v>
      </c>
      <c r="BI27" s="206">
        <v>0</v>
      </c>
      <c r="BJ27" s="206">
        <v>0</v>
      </c>
      <c r="BK27" s="206">
        <v>0</v>
      </c>
      <c r="BL27" s="207">
        <f t="shared" si="32"/>
        <v>2371072.1608699998</v>
      </c>
      <c r="BM27" s="210">
        <v>162572000</v>
      </c>
      <c r="BN27" s="207">
        <f t="shared" si="33"/>
        <v>162572</v>
      </c>
      <c r="BO27" s="210">
        <v>116123159.77</v>
      </c>
      <c r="BP27" s="207">
        <f t="shared" si="34"/>
        <v>116123.15977</v>
      </c>
      <c r="BQ27" s="207">
        <f t="shared" si="10"/>
        <v>71.428757578180736</v>
      </c>
      <c r="BR27" s="210">
        <v>266546577</v>
      </c>
      <c r="BS27" s="207">
        <f t="shared" si="35"/>
        <v>266546.57699999999</v>
      </c>
      <c r="BT27" s="375">
        <v>238775546.94</v>
      </c>
      <c r="BU27" s="207">
        <f t="shared" si="36"/>
        <v>238775.54694</v>
      </c>
      <c r="BV27" s="207">
        <f t="shared" si="11"/>
        <v>89.581171751457163</v>
      </c>
      <c r="BW27" s="210">
        <v>216455300</v>
      </c>
      <c r="BX27" s="207">
        <f t="shared" si="37"/>
        <v>216455.3</v>
      </c>
      <c r="BY27" s="210">
        <v>132733896.86</v>
      </c>
      <c r="BZ27" s="207">
        <f t="shared" si="38"/>
        <v>132733.89686000001</v>
      </c>
      <c r="CA27" s="210">
        <v>136891290.03999999</v>
      </c>
      <c r="CB27" s="207">
        <f t="shared" si="39"/>
        <v>136891.29003999999</v>
      </c>
      <c r="CC27" s="207">
        <f t="shared" si="12"/>
        <v>63.242290690040853</v>
      </c>
      <c r="CD27" s="207">
        <f t="shared" si="40"/>
        <v>4157.3931799999846</v>
      </c>
      <c r="CE27" s="207">
        <f t="shared" si="41"/>
        <v>3.132126215193523</v>
      </c>
      <c r="CF27" s="210">
        <v>204505531.24000001</v>
      </c>
      <c r="CG27" s="207">
        <f t="shared" si="42"/>
        <v>204505.53124000001</v>
      </c>
      <c r="CH27" s="210">
        <v>126035082.48999999</v>
      </c>
      <c r="CI27" s="207">
        <f t="shared" si="43"/>
        <v>126035.08249</v>
      </c>
      <c r="CJ27" s="207">
        <f t="shared" si="13"/>
        <v>61.629180260210155</v>
      </c>
      <c r="CK27" s="207">
        <v>134716.48724000002</v>
      </c>
      <c r="CL27" s="207">
        <v>27139.455989999999</v>
      </c>
      <c r="CM27" s="210">
        <v>224436839.94999999</v>
      </c>
      <c r="CN27" s="207">
        <f t="shared" si="44"/>
        <v>224436.83994999999</v>
      </c>
      <c r="CO27" s="210">
        <v>187254</v>
      </c>
      <c r="CP27" s="207">
        <f t="shared" si="45"/>
        <v>187.25399999999999</v>
      </c>
      <c r="CQ27" s="207">
        <f t="shared" si="14"/>
        <v>89720.352709999977</v>
      </c>
      <c r="CR27" s="207">
        <f t="shared" si="15"/>
        <v>-26952.201989999998</v>
      </c>
      <c r="CS27" s="207">
        <f t="shared" si="16"/>
        <v>-224267.87543000001</v>
      </c>
      <c r="CT27" s="207">
        <f t="shared" si="17"/>
        <v>-6758.5113599989563</v>
      </c>
      <c r="CU27" s="207">
        <v>1681466.665</v>
      </c>
      <c r="CV27" s="211">
        <v>1631466.665</v>
      </c>
      <c r="CW27" s="207">
        <f t="shared" si="46"/>
        <v>-50000</v>
      </c>
      <c r="CX27" s="206">
        <v>3041903473.5</v>
      </c>
      <c r="CY27" s="206">
        <v>0</v>
      </c>
      <c r="CZ27" s="206">
        <v>0</v>
      </c>
      <c r="DA27" s="206">
        <v>0</v>
      </c>
      <c r="DB27" s="207">
        <f t="shared" si="47"/>
        <v>3041903.4734999998</v>
      </c>
      <c r="DC27" s="206">
        <v>2244082064.27</v>
      </c>
      <c r="DD27" s="206">
        <v>0</v>
      </c>
      <c r="DE27" s="206">
        <v>0</v>
      </c>
      <c r="DF27" s="206">
        <v>0</v>
      </c>
      <c r="DG27" s="207">
        <f t="shared" si="48"/>
        <v>2244082.06427</v>
      </c>
      <c r="DH27" s="211">
        <f t="shared" si="18"/>
        <v>3041903.4734999998</v>
      </c>
      <c r="DI27" s="211">
        <f t="shared" si="19"/>
        <v>2244082.06427</v>
      </c>
      <c r="DJ27" s="207">
        <f t="shared" si="49"/>
        <v>73.772296978508976</v>
      </c>
      <c r="DK27" s="206">
        <v>2384248800</v>
      </c>
      <c r="DL27" s="207">
        <f t="shared" si="50"/>
        <v>2384248.7999999998</v>
      </c>
      <c r="DM27" s="206">
        <v>1693751574.3399999</v>
      </c>
      <c r="DN27" s="207">
        <f t="shared" si="50"/>
        <v>1693751.5743399998</v>
      </c>
      <c r="DO27" s="210">
        <v>234860.32</v>
      </c>
      <c r="DP27" s="207">
        <f t="shared" si="50"/>
        <v>234.86032</v>
      </c>
      <c r="DQ27" s="210">
        <v>306112.71000000002</v>
      </c>
      <c r="DR27" s="207">
        <f t="shared" si="50"/>
        <v>306.11270999999999</v>
      </c>
      <c r="DS27" s="207">
        <f t="shared" si="51"/>
        <v>71.252389999999991</v>
      </c>
      <c r="DT27" s="207">
        <v>40987.10744</v>
      </c>
      <c r="DU27" s="207">
        <v>0</v>
      </c>
      <c r="DV27" s="207">
        <v>327338.1286</v>
      </c>
      <c r="DW27" s="207">
        <v>0</v>
      </c>
      <c r="DX27" s="207">
        <f t="shared" si="52"/>
        <v>286351.02116</v>
      </c>
      <c r="DY27" s="207">
        <f t="shared" si="53"/>
        <v>0</v>
      </c>
    </row>
    <row r="28" spans="1:129" s="207" customFormat="1" x14ac:dyDescent="0.25">
      <c r="A28" s="205" t="s">
        <v>184</v>
      </c>
      <c r="B28" s="206">
        <v>1701314397.3</v>
      </c>
      <c r="C28" s="206">
        <v>0</v>
      </c>
      <c r="D28" s="206">
        <v>0</v>
      </c>
      <c r="E28" s="206">
        <v>0</v>
      </c>
      <c r="F28" s="207">
        <f t="shared" si="20"/>
        <v>1701314.3972999998</v>
      </c>
      <c r="G28" s="206">
        <v>1274814036.6099999</v>
      </c>
      <c r="H28" s="206">
        <v>0</v>
      </c>
      <c r="I28" s="206">
        <v>0</v>
      </c>
      <c r="J28" s="206">
        <v>0</v>
      </c>
      <c r="K28" s="207">
        <f t="shared" si="0"/>
        <v>1274814.0366099998</v>
      </c>
      <c r="L28" s="206">
        <v>0</v>
      </c>
      <c r="M28" s="206">
        <v>0</v>
      </c>
      <c r="N28" s="206">
        <v>0</v>
      </c>
      <c r="O28" s="207">
        <f t="shared" si="21"/>
        <v>0</v>
      </c>
      <c r="P28" s="206">
        <v>0</v>
      </c>
      <c r="Q28" s="206">
        <v>0</v>
      </c>
      <c r="R28" s="206">
        <v>0</v>
      </c>
      <c r="S28" s="207">
        <f t="shared" si="22"/>
        <v>0</v>
      </c>
      <c r="T28" s="206">
        <v>1857372097.3</v>
      </c>
      <c r="U28" s="206">
        <v>0</v>
      </c>
      <c r="V28" s="206">
        <v>0</v>
      </c>
      <c r="W28" s="206">
        <v>0</v>
      </c>
      <c r="X28" s="207">
        <f t="shared" si="1"/>
        <v>1857372.0973</v>
      </c>
      <c r="Y28" s="206">
        <v>1311346325.49</v>
      </c>
      <c r="Z28" s="206">
        <v>0</v>
      </c>
      <c r="AA28" s="206">
        <v>0</v>
      </c>
      <c r="AB28" s="206">
        <v>0</v>
      </c>
      <c r="AC28" s="207">
        <f t="shared" si="23"/>
        <v>1311346.32549</v>
      </c>
      <c r="AD28" s="207">
        <f t="shared" si="2"/>
        <v>1701314.3972999998</v>
      </c>
      <c r="AE28" s="207">
        <f t="shared" si="3"/>
        <v>1274814.0366099998</v>
      </c>
      <c r="AF28" s="207">
        <f t="shared" si="24"/>
        <v>74.931126112442257</v>
      </c>
      <c r="AG28" s="208">
        <v>1701314</v>
      </c>
      <c r="AH28" s="208">
        <f t="shared" si="25"/>
        <v>-0.39729999983683228</v>
      </c>
      <c r="AI28" s="208">
        <v>1274814</v>
      </c>
      <c r="AJ28" s="208">
        <f t="shared" si="26"/>
        <v>-3.660999983549118E-2</v>
      </c>
      <c r="AK28" s="207">
        <f t="shared" si="4"/>
        <v>1857372.0973</v>
      </c>
      <c r="AL28" s="207">
        <f t="shared" si="5"/>
        <v>1311346.32549</v>
      </c>
      <c r="AM28" s="207">
        <f t="shared" si="27"/>
        <v>70.602241058550433</v>
      </c>
      <c r="AN28" s="206">
        <v>1047081297.3</v>
      </c>
      <c r="AO28" s="206">
        <v>0</v>
      </c>
      <c r="AP28" s="206">
        <v>0</v>
      </c>
      <c r="AQ28" s="206">
        <v>0</v>
      </c>
      <c r="AR28" s="209">
        <f t="shared" si="6"/>
        <v>0</v>
      </c>
      <c r="AS28" s="207">
        <f t="shared" si="28"/>
        <v>1047081.2973</v>
      </c>
      <c r="AT28" s="206">
        <v>779879056.51999998</v>
      </c>
      <c r="AU28" s="206">
        <v>0</v>
      </c>
      <c r="AV28" s="206">
        <v>0</v>
      </c>
      <c r="AW28" s="206">
        <v>0</v>
      </c>
      <c r="AX28" s="209">
        <f t="shared" si="7"/>
        <v>0</v>
      </c>
      <c r="AY28" s="207">
        <f t="shared" si="29"/>
        <v>779879.05651999998</v>
      </c>
      <c r="AZ28" s="207">
        <f t="shared" si="8"/>
        <v>1047081.2973</v>
      </c>
      <c r="BA28" s="207">
        <f t="shared" si="9"/>
        <v>779879.05651999998</v>
      </c>
      <c r="BB28" s="207">
        <f t="shared" si="30"/>
        <v>74.481232596837827</v>
      </c>
      <c r="BC28" s="206">
        <v>656620400</v>
      </c>
      <c r="BD28" s="206">
        <v>0</v>
      </c>
      <c r="BE28" s="206">
        <v>0</v>
      </c>
      <c r="BF28" s="206">
        <v>0</v>
      </c>
      <c r="BG28" s="207">
        <f t="shared" si="31"/>
        <v>656620.4</v>
      </c>
      <c r="BH28" s="206">
        <v>497285044.68000001</v>
      </c>
      <c r="BI28" s="206">
        <v>0</v>
      </c>
      <c r="BJ28" s="206">
        <v>0</v>
      </c>
      <c r="BK28" s="206">
        <v>0</v>
      </c>
      <c r="BL28" s="207">
        <f t="shared" si="32"/>
        <v>497285.04467999999</v>
      </c>
      <c r="BM28" s="210">
        <v>71411000</v>
      </c>
      <c r="BN28" s="207">
        <f t="shared" si="33"/>
        <v>71411</v>
      </c>
      <c r="BO28" s="210">
        <v>63183671</v>
      </c>
      <c r="BP28" s="207">
        <f t="shared" si="34"/>
        <v>63183.671000000002</v>
      </c>
      <c r="BQ28" s="207">
        <f t="shared" si="10"/>
        <v>88.47890521068183</v>
      </c>
      <c r="BR28" s="210">
        <v>18556600</v>
      </c>
      <c r="BS28" s="207">
        <f t="shared" si="35"/>
        <v>18556.599999999999</v>
      </c>
      <c r="BT28" s="375">
        <v>18598895.07</v>
      </c>
      <c r="BU28" s="207">
        <f t="shared" si="36"/>
        <v>18598.895069999999</v>
      </c>
      <c r="BV28" s="207">
        <f t="shared" si="11"/>
        <v>100.22792467370101</v>
      </c>
      <c r="BW28" s="210">
        <v>56521400</v>
      </c>
      <c r="BX28" s="207">
        <f t="shared" si="37"/>
        <v>56521.4</v>
      </c>
      <c r="BY28" s="210">
        <v>22532704.68</v>
      </c>
      <c r="BZ28" s="207">
        <f t="shared" si="38"/>
        <v>22532.704679999999</v>
      </c>
      <c r="CA28" s="210">
        <v>29084248.370000001</v>
      </c>
      <c r="CB28" s="207">
        <f t="shared" si="39"/>
        <v>29084.248370000001</v>
      </c>
      <c r="CC28" s="207">
        <f t="shared" si="12"/>
        <v>51.457055858488992</v>
      </c>
      <c r="CD28" s="207">
        <f t="shared" si="40"/>
        <v>6551.5436900000022</v>
      </c>
      <c r="CE28" s="207">
        <f t="shared" si="41"/>
        <v>29.075709210422247</v>
      </c>
      <c r="CF28" s="210">
        <v>57521200</v>
      </c>
      <c r="CG28" s="207">
        <f t="shared" si="42"/>
        <v>57521.2</v>
      </c>
      <c r="CH28" s="210">
        <v>43964575.439999998</v>
      </c>
      <c r="CI28" s="207">
        <f t="shared" si="43"/>
        <v>43964.575440000001</v>
      </c>
      <c r="CJ28" s="207">
        <f t="shared" si="13"/>
        <v>76.431951071952611</v>
      </c>
      <c r="CK28" s="207">
        <v>9062.9773000000005</v>
      </c>
      <c r="CL28" s="207">
        <v>2373.6414500000001</v>
      </c>
      <c r="CM28" s="210">
        <v>26981552.039999999</v>
      </c>
      <c r="CN28" s="207">
        <f t="shared" si="44"/>
        <v>26981.552039999999</v>
      </c>
      <c r="CO28" s="210">
        <v>649641.80000000005</v>
      </c>
      <c r="CP28" s="207">
        <f t="shared" si="45"/>
        <v>649.6418000000001</v>
      </c>
      <c r="CQ28" s="207">
        <f t="shared" si="14"/>
        <v>17918.574739999996</v>
      </c>
      <c r="CR28" s="207">
        <f t="shared" si="15"/>
        <v>-1723.99965</v>
      </c>
      <c r="CS28" s="207">
        <f t="shared" si="16"/>
        <v>-156057.70000000019</v>
      </c>
      <c r="CT28" s="207">
        <f t="shared" si="17"/>
        <v>-36532.288880000124</v>
      </c>
      <c r="CU28" s="207">
        <v>129000</v>
      </c>
      <c r="CV28" s="211">
        <v>108000</v>
      </c>
      <c r="CW28" s="207">
        <f t="shared" si="46"/>
        <v>-21000</v>
      </c>
      <c r="CX28" s="206">
        <v>1044693997.3</v>
      </c>
      <c r="CY28" s="206">
        <v>0</v>
      </c>
      <c r="CZ28" s="206">
        <v>0</v>
      </c>
      <c r="DA28" s="206">
        <v>0</v>
      </c>
      <c r="DB28" s="207">
        <f t="shared" si="47"/>
        <v>1044693.9972999999</v>
      </c>
      <c r="DC28" s="206">
        <v>777528991.92999995</v>
      </c>
      <c r="DD28" s="206">
        <v>0</v>
      </c>
      <c r="DE28" s="206">
        <v>0</v>
      </c>
      <c r="DF28" s="206">
        <v>0</v>
      </c>
      <c r="DG28" s="207">
        <f t="shared" si="48"/>
        <v>777528.9919299999</v>
      </c>
      <c r="DH28" s="211">
        <f t="shared" si="18"/>
        <v>1044693.9972999999</v>
      </c>
      <c r="DI28" s="211">
        <f t="shared" si="19"/>
        <v>777528.9919299999</v>
      </c>
      <c r="DJ28" s="207">
        <f t="shared" si="49"/>
        <v>74.426482198568678</v>
      </c>
      <c r="DK28" s="206">
        <v>409139400</v>
      </c>
      <c r="DL28" s="207">
        <f t="shared" si="50"/>
        <v>409139.4</v>
      </c>
      <c r="DM28" s="206">
        <v>305203408.79000002</v>
      </c>
      <c r="DN28" s="207">
        <f t="shared" si="50"/>
        <v>305203.40879000002</v>
      </c>
      <c r="DO28" s="210">
        <v>113491.69</v>
      </c>
      <c r="DP28" s="207">
        <f t="shared" si="50"/>
        <v>113.49169000000001</v>
      </c>
      <c r="DQ28" s="210">
        <v>68672.09</v>
      </c>
      <c r="DR28" s="207">
        <f t="shared" si="50"/>
        <v>68.672089999999997</v>
      </c>
      <c r="DS28" s="207">
        <f t="shared" si="51"/>
        <v>-44.819600000000008</v>
      </c>
      <c r="DT28" s="207">
        <v>71567.252139999997</v>
      </c>
      <c r="DU28" s="207">
        <v>0</v>
      </c>
      <c r="DV28" s="207">
        <v>102642.3858</v>
      </c>
      <c r="DW28" s="207">
        <v>0</v>
      </c>
      <c r="DX28" s="207">
        <f t="shared" si="52"/>
        <v>31075.133660000007</v>
      </c>
      <c r="DY28" s="207">
        <f t="shared" si="53"/>
        <v>0</v>
      </c>
    </row>
    <row r="29" spans="1:129" s="207" customFormat="1" x14ac:dyDescent="0.25">
      <c r="A29" s="205" t="s">
        <v>185</v>
      </c>
      <c r="B29" s="206">
        <v>856742951</v>
      </c>
      <c r="C29" s="206">
        <v>0</v>
      </c>
      <c r="D29" s="206">
        <v>0</v>
      </c>
      <c r="E29" s="206">
        <v>0</v>
      </c>
      <c r="F29" s="207">
        <f t="shared" si="20"/>
        <v>856742.951</v>
      </c>
      <c r="G29" s="206">
        <v>579208838.30999994</v>
      </c>
      <c r="H29" s="206">
        <v>0</v>
      </c>
      <c r="I29" s="206">
        <v>0</v>
      </c>
      <c r="J29" s="206">
        <v>0</v>
      </c>
      <c r="K29" s="207">
        <f t="shared" si="0"/>
        <v>579208.8383099999</v>
      </c>
      <c r="L29" s="206">
        <v>0</v>
      </c>
      <c r="M29" s="206">
        <v>0</v>
      </c>
      <c r="N29" s="206">
        <v>0</v>
      </c>
      <c r="O29" s="207">
        <f t="shared" si="21"/>
        <v>0</v>
      </c>
      <c r="P29" s="206">
        <v>0</v>
      </c>
      <c r="Q29" s="206">
        <v>0</v>
      </c>
      <c r="R29" s="206">
        <v>0</v>
      </c>
      <c r="S29" s="207">
        <f t="shared" si="22"/>
        <v>0</v>
      </c>
      <c r="T29" s="206">
        <v>877751871</v>
      </c>
      <c r="U29" s="206">
        <v>0</v>
      </c>
      <c r="V29" s="206">
        <v>0</v>
      </c>
      <c r="W29" s="206">
        <v>0</v>
      </c>
      <c r="X29" s="207">
        <f t="shared" si="1"/>
        <v>877751.87100000004</v>
      </c>
      <c r="Y29" s="206">
        <v>614285693.36000001</v>
      </c>
      <c r="Z29" s="206">
        <v>0</v>
      </c>
      <c r="AA29" s="206">
        <v>0</v>
      </c>
      <c r="AB29" s="206">
        <v>0</v>
      </c>
      <c r="AC29" s="207">
        <f t="shared" si="23"/>
        <v>614285.69336000003</v>
      </c>
      <c r="AD29" s="207">
        <f t="shared" si="2"/>
        <v>856742.951</v>
      </c>
      <c r="AE29" s="207">
        <f t="shared" si="3"/>
        <v>579208.8383099999</v>
      </c>
      <c r="AF29" s="207">
        <f t="shared" si="24"/>
        <v>67.605906489681743</v>
      </c>
      <c r="AG29" s="208">
        <v>856743</v>
      </c>
      <c r="AH29" s="208">
        <f t="shared" si="25"/>
        <v>4.8999999999068677E-2</v>
      </c>
      <c r="AI29" s="208">
        <v>579209</v>
      </c>
      <c r="AJ29" s="208">
        <f t="shared" si="26"/>
        <v>0.16169000009540468</v>
      </c>
      <c r="AK29" s="207">
        <f t="shared" si="4"/>
        <v>877751.87100000004</v>
      </c>
      <c r="AL29" s="207">
        <f t="shared" si="5"/>
        <v>614285.69336000003</v>
      </c>
      <c r="AM29" s="207">
        <f t="shared" si="27"/>
        <v>69.98397994414529</v>
      </c>
      <c r="AN29" s="206">
        <v>491896918</v>
      </c>
      <c r="AO29" s="206">
        <v>0</v>
      </c>
      <c r="AP29" s="206">
        <v>0</v>
      </c>
      <c r="AQ29" s="206">
        <v>0</v>
      </c>
      <c r="AR29" s="209">
        <f t="shared" si="6"/>
        <v>0</v>
      </c>
      <c r="AS29" s="207">
        <f t="shared" si="28"/>
        <v>491896.91800000001</v>
      </c>
      <c r="AT29" s="206">
        <v>341181236.04000002</v>
      </c>
      <c r="AU29" s="206">
        <v>0</v>
      </c>
      <c r="AV29" s="206">
        <v>0</v>
      </c>
      <c r="AW29" s="206">
        <v>0</v>
      </c>
      <c r="AX29" s="209">
        <f t="shared" si="7"/>
        <v>0</v>
      </c>
      <c r="AY29" s="207">
        <f t="shared" si="29"/>
        <v>341181.23604000005</v>
      </c>
      <c r="AZ29" s="207">
        <f t="shared" si="8"/>
        <v>491896.91800000001</v>
      </c>
      <c r="BA29" s="207">
        <f t="shared" si="9"/>
        <v>341181.23604000005</v>
      </c>
      <c r="BB29" s="207">
        <f t="shared" si="30"/>
        <v>69.360311796058056</v>
      </c>
      <c r="BC29" s="206">
        <v>360903100</v>
      </c>
      <c r="BD29" s="206">
        <v>0</v>
      </c>
      <c r="BE29" s="206">
        <v>0</v>
      </c>
      <c r="BF29" s="206">
        <v>0</v>
      </c>
      <c r="BG29" s="207">
        <f t="shared" si="31"/>
        <v>360903.1</v>
      </c>
      <c r="BH29" s="206">
        <v>234084669.27000001</v>
      </c>
      <c r="BI29" s="206">
        <v>0</v>
      </c>
      <c r="BJ29" s="206">
        <v>0</v>
      </c>
      <c r="BK29" s="206">
        <v>0</v>
      </c>
      <c r="BL29" s="207">
        <f t="shared" si="32"/>
        <v>234084.66927000001</v>
      </c>
      <c r="BM29" s="210">
        <v>21863000</v>
      </c>
      <c r="BN29" s="207">
        <f t="shared" si="33"/>
        <v>21863</v>
      </c>
      <c r="BO29" s="210">
        <v>15940658.76</v>
      </c>
      <c r="BP29" s="207">
        <f t="shared" si="34"/>
        <v>15940.65876</v>
      </c>
      <c r="BQ29" s="207">
        <f t="shared" si="10"/>
        <v>72.911580112518877</v>
      </c>
      <c r="BR29" s="210">
        <v>640000</v>
      </c>
      <c r="BS29" s="207">
        <f t="shared" si="35"/>
        <v>640</v>
      </c>
      <c r="BT29" s="375">
        <v>1101805.08</v>
      </c>
      <c r="BU29" s="207">
        <f t="shared" si="36"/>
        <v>1101.8050800000001</v>
      </c>
      <c r="BV29" s="207">
        <f t="shared" si="11"/>
        <v>172.15704375000001</v>
      </c>
      <c r="BW29" s="210">
        <v>35984000</v>
      </c>
      <c r="BX29" s="207">
        <f t="shared" si="37"/>
        <v>35984</v>
      </c>
      <c r="BY29" s="210">
        <v>23122756.239999998</v>
      </c>
      <c r="BZ29" s="207">
        <f t="shared" si="38"/>
        <v>23122.756239999999</v>
      </c>
      <c r="CA29" s="210">
        <v>20073333.140000001</v>
      </c>
      <c r="CB29" s="207">
        <f t="shared" si="39"/>
        <v>20073.333139999999</v>
      </c>
      <c r="CC29" s="207">
        <f t="shared" si="12"/>
        <v>55.78405163405958</v>
      </c>
      <c r="CD29" s="207">
        <f t="shared" si="40"/>
        <v>-3049.4231</v>
      </c>
      <c r="CE29" s="207">
        <f t="shared" si="41"/>
        <v>-13.18797408210709</v>
      </c>
      <c r="CF29" s="210">
        <v>24784000</v>
      </c>
      <c r="CG29" s="207">
        <f t="shared" si="42"/>
        <v>24784</v>
      </c>
      <c r="CH29" s="210">
        <v>17408451.719999999</v>
      </c>
      <c r="CI29" s="207">
        <f t="shared" si="43"/>
        <v>17408.451719999997</v>
      </c>
      <c r="CJ29" s="207">
        <f t="shared" si="13"/>
        <v>70.240686410587458</v>
      </c>
      <c r="CK29" s="207">
        <v>13006.39445</v>
      </c>
      <c r="CL29" s="207">
        <v>8.92</v>
      </c>
      <c r="CM29" s="210">
        <v>16596446.73</v>
      </c>
      <c r="CN29" s="207">
        <f t="shared" si="44"/>
        <v>16596.44673</v>
      </c>
      <c r="CO29" s="210">
        <v>4988.6000000000004</v>
      </c>
      <c r="CP29" s="207">
        <f t="shared" si="45"/>
        <v>4.9885999999999999</v>
      </c>
      <c r="CQ29" s="207">
        <f t="shared" si="14"/>
        <v>3590.0522799999999</v>
      </c>
      <c r="CR29" s="207">
        <f t="shared" si="15"/>
        <v>-3.9314</v>
      </c>
      <c r="CS29" s="207">
        <f t="shared" si="16"/>
        <v>-21008.920000000042</v>
      </c>
      <c r="CT29" s="207">
        <f t="shared" si="17"/>
        <v>-35076.855050000129</v>
      </c>
      <c r="CU29" s="207">
        <v>73800</v>
      </c>
      <c r="CV29" s="211">
        <v>94800</v>
      </c>
      <c r="CW29" s="207">
        <f t="shared" si="46"/>
        <v>21000</v>
      </c>
      <c r="CX29" s="206">
        <v>495839851</v>
      </c>
      <c r="CY29" s="206">
        <v>0</v>
      </c>
      <c r="CZ29" s="206">
        <v>0</v>
      </c>
      <c r="DA29" s="206">
        <v>0</v>
      </c>
      <c r="DB29" s="207">
        <f t="shared" si="47"/>
        <v>495839.85100000002</v>
      </c>
      <c r="DC29" s="206">
        <v>345124169.04000002</v>
      </c>
      <c r="DD29" s="206">
        <v>0</v>
      </c>
      <c r="DE29" s="206">
        <v>0</v>
      </c>
      <c r="DF29" s="206">
        <v>0</v>
      </c>
      <c r="DG29" s="207">
        <f t="shared" si="48"/>
        <v>345124.16904000001</v>
      </c>
      <c r="DH29" s="211">
        <f t="shared" si="18"/>
        <v>495839.85100000002</v>
      </c>
      <c r="DI29" s="211">
        <f t="shared" si="19"/>
        <v>345124.16904000001</v>
      </c>
      <c r="DJ29" s="207">
        <f t="shared" si="49"/>
        <v>69.603959492961366</v>
      </c>
      <c r="DK29" s="206">
        <v>237731000</v>
      </c>
      <c r="DL29" s="207">
        <f t="shared" si="50"/>
        <v>237731</v>
      </c>
      <c r="DM29" s="206">
        <v>168166659.40000001</v>
      </c>
      <c r="DN29" s="207">
        <f t="shared" si="50"/>
        <v>168166.6594</v>
      </c>
      <c r="DO29" s="210">
        <v>0</v>
      </c>
      <c r="DP29" s="207">
        <f t="shared" si="50"/>
        <v>0</v>
      </c>
      <c r="DQ29" s="210">
        <v>0</v>
      </c>
      <c r="DR29" s="207">
        <f t="shared" si="50"/>
        <v>0</v>
      </c>
      <c r="DS29" s="207">
        <f t="shared" si="51"/>
        <v>0</v>
      </c>
      <c r="DT29" s="207">
        <v>44981.330030000005</v>
      </c>
      <c r="DU29" s="207">
        <v>20132.06381</v>
      </c>
      <c r="DV29" s="207">
        <v>39791.897700000001</v>
      </c>
      <c r="DW29" s="207">
        <v>19132.0638</v>
      </c>
      <c r="DX29" s="207">
        <f t="shared" si="52"/>
        <v>-5189.4323300000033</v>
      </c>
      <c r="DY29" s="207">
        <f t="shared" si="53"/>
        <v>-1000.0000099999997</v>
      </c>
    </row>
    <row r="30" spans="1:129" s="207" customFormat="1" x14ac:dyDescent="0.25">
      <c r="A30" s="205" t="s">
        <v>186</v>
      </c>
      <c r="B30" s="206">
        <v>847736524.63</v>
      </c>
      <c r="C30" s="206">
        <v>0</v>
      </c>
      <c r="D30" s="206">
        <v>0</v>
      </c>
      <c r="E30" s="206">
        <v>0</v>
      </c>
      <c r="F30" s="207">
        <f t="shared" si="20"/>
        <v>847736.52463</v>
      </c>
      <c r="G30" s="206">
        <v>609500243.67999995</v>
      </c>
      <c r="H30" s="206">
        <v>0</v>
      </c>
      <c r="I30" s="206">
        <v>0</v>
      </c>
      <c r="J30" s="206">
        <v>0</v>
      </c>
      <c r="K30" s="207">
        <f t="shared" si="0"/>
        <v>609500.24367999996</v>
      </c>
      <c r="L30" s="206">
        <v>0</v>
      </c>
      <c r="M30" s="206">
        <v>0</v>
      </c>
      <c r="N30" s="206">
        <v>0</v>
      </c>
      <c r="O30" s="207">
        <f t="shared" si="21"/>
        <v>0</v>
      </c>
      <c r="P30" s="206">
        <v>0</v>
      </c>
      <c r="Q30" s="206">
        <v>0</v>
      </c>
      <c r="R30" s="206">
        <v>0</v>
      </c>
      <c r="S30" s="207">
        <f t="shared" si="22"/>
        <v>0</v>
      </c>
      <c r="T30" s="206">
        <v>894991514.75999999</v>
      </c>
      <c r="U30" s="206">
        <v>0</v>
      </c>
      <c r="V30" s="206">
        <v>0</v>
      </c>
      <c r="W30" s="206">
        <v>0</v>
      </c>
      <c r="X30" s="207">
        <f t="shared" si="1"/>
        <v>894991.51475999993</v>
      </c>
      <c r="Y30" s="206">
        <v>634873024.60000002</v>
      </c>
      <c r="Z30" s="206">
        <v>0</v>
      </c>
      <c r="AA30" s="206">
        <v>0</v>
      </c>
      <c r="AB30" s="206">
        <v>0</v>
      </c>
      <c r="AC30" s="207">
        <f t="shared" si="23"/>
        <v>634873.0246</v>
      </c>
      <c r="AD30" s="207">
        <f t="shared" si="2"/>
        <v>847736.52463</v>
      </c>
      <c r="AE30" s="207">
        <f t="shared" si="3"/>
        <v>609500.24367999996</v>
      </c>
      <c r="AF30" s="207">
        <f t="shared" si="24"/>
        <v>71.897367397968395</v>
      </c>
      <c r="AG30" s="208">
        <v>847737</v>
      </c>
      <c r="AH30" s="208">
        <f t="shared" si="25"/>
        <v>0.47537000000011176</v>
      </c>
      <c r="AI30" s="208">
        <v>609500</v>
      </c>
      <c r="AJ30" s="208">
        <f t="shared" si="26"/>
        <v>-0.24367999995592982</v>
      </c>
      <c r="AK30" s="207">
        <f t="shared" si="4"/>
        <v>894991.51475999993</v>
      </c>
      <c r="AL30" s="207">
        <f t="shared" si="5"/>
        <v>634873.0246</v>
      </c>
      <c r="AM30" s="207">
        <f t="shared" si="27"/>
        <v>70.936206000818558</v>
      </c>
      <c r="AN30" s="206">
        <v>461247026.60000002</v>
      </c>
      <c r="AO30" s="206">
        <v>0</v>
      </c>
      <c r="AP30" s="206">
        <v>0</v>
      </c>
      <c r="AQ30" s="206">
        <v>0</v>
      </c>
      <c r="AR30" s="209">
        <f t="shared" si="6"/>
        <v>0</v>
      </c>
      <c r="AS30" s="207">
        <f t="shared" si="28"/>
        <v>461247.02660000004</v>
      </c>
      <c r="AT30" s="206">
        <v>328336891.81</v>
      </c>
      <c r="AU30" s="206">
        <v>0</v>
      </c>
      <c r="AV30" s="206">
        <v>0</v>
      </c>
      <c r="AW30" s="206">
        <v>0</v>
      </c>
      <c r="AX30" s="209">
        <f t="shared" si="7"/>
        <v>0</v>
      </c>
      <c r="AY30" s="207">
        <f t="shared" si="29"/>
        <v>328336.89181</v>
      </c>
      <c r="AZ30" s="207">
        <f t="shared" si="8"/>
        <v>461247.02660000004</v>
      </c>
      <c r="BA30" s="207">
        <f t="shared" si="9"/>
        <v>328336.89181</v>
      </c>
      <c r="BB30" s="207">
        <f t="shared" si="30"/>
        <v>71.184608870061822</v>
      </c>
      <c r="BC30" s="206">
        <v>386818516.26999998</v>
      </c>
      <c r="BD30" s="206">
        <v>0</v>
      </c>
      <c r="BE30" s="206">
        <v>0</v>
      </c>
      <c r="BF30" s="206">
        <v>0</v>
      </c>
      <c r="BG30" s="207">
        <f t="shared" si="31"/>
        <v>386818.51626999996</v>
      </c>
      <c r="BH30" s="206">
        <v>281513057.11000001</v>
      </c>
      <c r="BI30" s="206">
        <v>0</v>
      </c>
      <c r="BJ30" s="206">
        <v>0</v>
      </c>
      <c r="BK30" s="206">
        <v>0</v>
      </c>
      <c r="BL30" s="207">
        <f t="shared" si="32"/>
        <v>281513.05710999999</v>
      </c>
      <c r="BM30" s="210">
        <v>29905000</v>
      </c>
      <c r="BN30" s="207">
        <f t="shared" si="33"/>
        <v>29905</v>
      </c>
      <c r="BO30" s="210">
        <v>20496495.870000001</v>
      </c>
      <c r="BP30" s="207">
        <f t="shared" si="34"/>
        <v>20496.495870000002</v>
      </c>
      <c r="BQ30" s="207">
        <f t="shared" si="10"/>
        <v>68.538692091623474</v>
      </c>
      <c r="BR30" s="210">
        <v>5488300</v>
      </c>
      <c r="BS30" s="207">
        <f t="shared" si="35"/>
        <v>5488.3</v>
      </c>
      <c r="BT30" s="375">
        <v>5320237.6399999997</v>
      </c>
      <c r="BU30" s="207">
        <f t="shared" si="36"/>
        <v>5320.2376399999994</v>
      </c>
      <c r="BV30" s="207">
        <f t="shared" si="11"/>
        <v>96.937806606781677</v>
      </c>
      <c r="BW30" s="210">
        <v>33074000</v>
      </c>
      <c r="BX30" s="207">
        <f t="shared" si="37"/>
        <v>33074</v>
      </c>
      <c r="BY30" s="210">
        <v>19390745.27</v>
      </c>
      <c r="BZ30" s="207">
        <f t="shared" si="38"/>
        <v>19390.745269999999</v>
      </c>
      <c r="CA30" s="210">
        <v>17994427.149999999</v>
      </c>
      <c r="CB30" s="207">
        <f t="shared" si="39"/>
        <v>17994.42715</v>
      </c>
      <c r="CC30" s="207">
        <f t="shared" si="12"/>
        <v>54.406564521981011</v>
      </c>
      <c r="CD30" s="207">
        <f t="shared" si="40"/>
        <v>-1396.3181199999999</v>
      </c>
      <c r="CE30" s="207">
        <f t="shared" si="41"/>
        <v>-7.2009512814357066</v>
      </c>
      <c r="CF30" s="210">
        <v>25613200</v>
      </c>
      <c r="CG30" s="207">
        <f t="shared" si="42"/>
        <v>25613.200000000001</v>
      </c>
      <c r="CH30" s="210">
        <v>17242633.940000001</v>
      </c>
      <c r="CI30" s="207">
        <f t="shared" si="43"/>
        <v>17242.63394</v>
      </c>
      <c r="CJ30" s="207">
        <f t="shared" si="13"/>
        <v>67.319327299985943</v>
      </c>
      <c r="CK30" s="207">
        <v>12254.99113</v>
      </c>
      <c r="CL30" s="207">
        <v>4106.2218999999996</v>
      </c>
      <c r="CM30" s="210">
        <v>20270700.850000001</v>
      </c>
      <c r="CN30" s="207">
        <f t="shared" si="44"/>
        <v>20270.700850000001</v>
      </c>
      <c r="CO30" s="210">
        <v>0</v>
      </c>
      <c r="CP30" s="207">
        <f t="shared" si="45"/>
        <v>0</v>
      </c>
      <c r="CQ30" s="207">
        <f t="shared" si="14"/>
        <v>8015.7097200000007</v>
      </c>
      <c r="CR30" s="207">
        <f t="shared" si="15"/>
        <v>-4106.2218999999996</v>
      </c>
      <c r="CS30" s="207">
        <f t="shared" si="16"/>
        <v>-47254.990129999933</v>
      </c>
      <c r="CT30" s="207">
        <f t="shared" si="17"/>
        <v>-25372.780920000048</v>
      </c>
      <c r="CU30" s="207">
        <v>212247.42499999999</v>
      </c>
      <c r="CV30" s="211">
        <v>212499.424</v>
      </c>
      <c r="CW30" s="207">
        <f t="shared" si="46"/>
        <v>251.99900000001071</v>
      </c>
      <c r="CX30" s="206">
        <v>460918008.36000001</v>
      </c>
      <c r="CY30" s="206">
        <v>0</v>
      </c>
      <c r="CZ30" s="206">
        <v>0</v>
      </c>
      <c r="DA30" s="206">
        <v>0</v>
      </c>
      <c r="DB30" s="207">
        <f t="shared" si="47"/>
        <v>460918.00836000004</v>
      </c>
      <c r="DC30" s="206">
        <v>327987186.56999999</v>
      </c>
      <c r="DD30" s="206">
        <v>0</v>
      </c>
      <c r="DE30" s="206">
        <v>0</v>
      </c>
      <c r="DF30" s="206">
        <v>0</v>
      </c>
      <c r="DG30" s="207">
        <f t="shared" si="48"/>
        <v>327987.18657000002</v>
      </c>
      <c r="DH30" s="211">
        <f t="shared" si="18"/>
        <v>460918.00836000004</v>
      </c>
      <c r="DI30" s="211">
        <f t="shared" si="19"/>
        <v>327987.18657000002</v>
      </c>
      <c r="DJ30" s="207">
        <f t="shared" si="49"/>
        <v>71.159551291349331</v>
      </c>
      <c r="DK30" s="206">
        <v>271301700</v>
      </c>
      <c r="DL30" s="207">
        <f t="shared" si="50"/>
        <v>271301.7</v>
      </c>
      <c r="DM30" s="206">
        <v>203770599.33000001</v>
      </c>
      <c r="DN30" s="207">
        <f t="shared" si="50"/>
        <v>203770.59933000003</v>
      </c>
      <c r="DO30" s="210">
        <v>1000</v>
      </c>
      <c r="DP30" s="207">
        <f t="shared" si="50"/>
        <v>1</v>
      </c>
      <c r="DQ30" s="210">
        <v>18277.89</v>
      </c>
      <c r="DR30" s="207">
        <f t="shared" si="50"/>
        <v>18.277889999999999</v>
      </c>
      <c r="DS30" s="207">
        <f t="shared" si="51"/>
        <v>17.277889999999999</v>
      </c>
      <c r="DT30" s="207">
        <v>4848.4981699999998</v>
      </c>
      <c r="DU30" s="207">
        <v>467.77819</v>
      </c>
      <c r="DV30" s="207">
        <v>26349.447899999999</v>
      </c>
      <c r="DW30" s="207">
        <v>150.9922</v>
      </c>
      <c r="DX30" s="207">
        <f t="shared" si="52"/>
        <v>21500.94973</v>
      </c>
      <c r="DY30" s="207">
        <f t="shared" si="53"/>
        <v>-316.78598999999997</v>
      </c>
    </row>
    <row r="31" spans="1:129" s="207" customFormat="1" x14ac:dyDescent="0.25">
      <c r="A31" s="205" t="s">
        <v>187</v>
      </c>
      <c r="B31" s="206">
        <v>1026685400.4</v>
      </c>
      <c r="C31" s="206">
        <v>0</v>
      </c>
      <c r="D31" s="206">
        <v>0</v>
      </c>
      <c r="E31" s="206">
        <v>0</v>
      </c>
      <c r="F31" s="207">
        <f t="shared" si="20"/>
        <v>1026685.4003999999</v>
      </c>
      <c r="G31" s="206">
        <v>681731237.89999998</v>
      </c>
      <c r="H31" s="206">
        <v>0</v>
      </c>
      <c r="I31" s="206">
        <v>0</v>
      </c>
      <c r="J31" s="206">
        <v>0</v>
      </c>
      <c r="K31" s="207">
        <f t="shared" si="0"/>
        <v>681731.23789999995</v>
      </c>
      <c r="L31" s="206">
        <v>0</v>
      </c>
      <c r="M31" s="206">
        <v>0</v>
      </c>
      <c r="N31" s="206">
        <v>0</v>
      </c>
      <c r="O31" s="207">
        <f t="shared" si="21"/>
        <v>0</v>
      </c>
      <c r="P31" s="206">
        <v>0</v>
      </c>
      <c r="Q31" s="206">
        <v>0</v>
      </c>
      <c r="R31" s="206">
        <v>0</v>
      </c>
      <c r="S31" s="207">
        <f t="shared" si="22"/>
        <v>0</v>
      </c>
      <c r="T31" s="206">
        <v>1075808494.6800001</v>
      </c>
      <c r="U31" s="206">
        <v>0</v>
      </c>
      <c r="V31" s="206">
        <v>0</v>
      </c>
      <c r="W31" s="206">
        <v>0</v>
      </c>
      <c r="X31" s="207">
        <f t="shared" si="1"/>
        <v>1075808.49468</v>
      </c>
      <c r="Y31" s="206">
        <v>707697610.98000002</v>
      </c>
      <c r="Z31" s="206">
        <v>0</v>
      </c>
      <c r="AA31" s="206">
        <v>0</v>
      </c>
      <c r="AB31" s="206">
        <v>0</v>
      </c>
      <c r="AC31" s="207">
        <f t="shared" si="23"/>
        <v>707697.61098</v>
      </c>
      <c r="AD31" s="207">
        <f t="shared" si="2"/>
        <v>1026685.4003999999</v>
      </c>
      <c r="AE31" s="207">
        <f t="shared" si="3"/>
        <v>681731.23789999995</v>
      </c>
      <c r="AF31" s="207">
        <f t="shared" si="24"/>
        <v>66.401181670100243</v>
      </c>
      <c r="AG31" s="208">
        <v>1026685</v>
      </c>
      <c r="AH31" s="208">
        <f t="shared" si="25"/>
        <v>-0.40039999992586672</v>
      </c>
      <c r="AI31" s="208">
        <v>681731</v>
      </c>
      <c r="AJ31" s="208">
        <f t="shared" si="26"/>
        <v>-0.23789999994914979</v>
      </c>
      <c r="AK31" s="207">
        <f t="shared" si="4"/>
        <v>1075808.49468</v>
      </c>
      <c r="AL31" s="207">
        <f t="shared" si="5"/>
        <v>707697.61098</v>
      </c>
      <c r="AM31" s="207">
        <f t="shared" si="27"/>
        <v>65.782861399556538</v>
      </c>
      <c r="AN31" s="206">
        <v>488686351</v>
      </c>
      <c r="AO31" s="206">
        <v>0</v>
      </c>
      <c r="AP31" s="206">
        <v>0</v>
      </c>
      <c r="AQ31" s="206">
        <v>0</v>
      </c>
      <c r="AR31" s="209">
        <f t="shared" si="6"/>
        <v>0</v>
      </c>
      <c r="AS31" s="207">
        <f t="shared" si="28"/>
        <v>488686.35100000002</v>
      </c>
      <c r="AT31" s="206">
        <v>362363639.94</v>
      </c>
      <c r="AU31" s="206">
        <v>0</v>
      </c>
      <c r="AV31" s="206">
        <v>0</v>
      </c>
      <c r="AW31" s="206">
        <v>0</v>
      </c>
      <c r="AX31" s="209">
        <f t="shared" si="7"/>
        <v>0</v>
      </c>
      <c r="AY31" s="207">
        <f t="shared" si="29"/>
        <v>362363.63994000002</v>
      </c>
      <c r="AZ31" s="207">
        <f t="shared" si="8"/>
        <v>488686.35100000002</v>
      </c>
      <c r="BA31" s="207">
        <f t="shared" si="9"/>
        <v>362363.63994000002</v>
      </c>
      <c r="BB31" s="207">
        <f t="shared" si="30"/>
        <v>74.150554685739522</v>
      </c>
      <c r="BC31" s="206">
        <v>538151800</v>
      </c>
      <c r="BD31" s="206">
        <v>0</v>
      </c>
      <c r="BE31" s="206">
        <v>0</v>
      </c>
      <c r="BF31" s="206">
        <v>0</v>
      </c>
      <c r="BG31" s="207">
        <f t="shared" si="31"/>
        <v>538151.80000000005</v>
      </c>
      <c r="BH31" s="206">
        <v>319520348.56</v>
      </c>
      <c r="BI31" s="206">
        <v>0</v>
      </c>
      <c r="BJ31" s="206">
        <v>0</v>
      </c>
      <c r="BK31" s="206">
        <v>0</v>
      </c>
      <c r="BL31" s="207">
        <f t="shared" si="32"/>
        <v>319520.34856000001</v>
      </c>
      <c r="BM31" s="210">
        <v>17215000</v>
      </c>
      <c r="BN31" s="207">
        <f t="shared" si="33"/>
        <v>17215</v>
      </c>
      <c r="BO31" s="210">
        <v>12101542.75</v>
      </c>
      <c r="BP31" s="207">
        <f t="shared" si="34"/>
        <v>12101.542750000001</v>
      </c>
      <c r="BQ31" s="207">
        <f t="shared" si="10"/>
        <v>70.296501597444092</v>
      </c>
      <c r="BR31" s="210">
        <v>652000</v>
      </c>
      <c r="BS31" s="207">
        <f t="shared" si="35"/>
        <v>652</v>
      </c>
      <c r="BT31" s="375">
        <v>902489.2</v>
      </c>
      <c r="BU31" s="207">
        <f t="shared" si="36"/>
        <v>902.48919999999998</v>
      </c>
      <c r="BV31" s="207">
        <f t="shared" si="11"/>
        <v>138.41858895705522</v>
      </c>
      <c r="BW31" s="210">
        <v>16686000</v>
      </c>
      <c r="BX31" s="207">
        <f t="shared" si="37"/>
        <v>16686</v>
      </c>
      <c r="BY31" s="210">
        <v>11331627.189999999</v>
      </c>
      <c r="BZ31" s="207">
        <f t="shared" si="38"/>
        <v>11331.627189999999</v>
      </c>
      <c r="CA31" s="210">
        <v>12281737.130000001</v>
      </c>
      <c r="CB31" s="207">
        <f t="shared" si="39"/>
        <v>12281.737130000001</v>
      </c>
      <c r="CC31" s="207">
        <f t="shared" si="12"/>
        <v>73.605040932518278</v>
      </c>
      <c r="CD31" s="207">
        <f t="shared" si="40"/>
        <v>950.1099400000021</v>
      </c>
      <c r="CE31" s="207">
        <f t="shared" si="41"/>
        <v>8.3845852327233388</v>
      </c>
      <c r="CF31" s="210">
        <v>52224000</v>
      </c>
      <c r="CG31" s="207">
        <f t="shared" si="42"/>
        <v>52224</v>
      </c>
      <c r="CH31" s="210">
        <v>37161311.079999998</v>
      </c>
      <c r="CI31" s="207">
        <f t="shared" si="43"/>
        <v>37161.311079999999</v>
      </c>
      <c r="CJ31" s="207">
        <f t="shared" si="13"/>
        <v>71.157535003063728</v>
      </c>
      <c r="CK31" s="207">
        <v>49584.527560000002</v>
      </c>
      <c r="CL31" s="207">
        <v>0</v>
      </c>
      <c r="CM31" s="210">
        <v>23618154.48</v>
      </c>
      <c r="CN31" s="207">
        <f t="shared" si="44"/>
        <v>23618.154480000001</v>
      </c>
      <c r="CO31" s="210">
        <v>72696.84</v>
      </c>
      <c r="CP31" s="207">
        <f t="shared" si="45"/>
        <v>72.696839999999995</v>
      </c>
      <c r="CQ31" s="207">
        <f t="shared" si="14"/>
        <v>-25966.373080000001</v>
      </c>
      <c r="CR31" s="207">
        <f t="shared" si="15"/>
        <v>72.696839999999995</v>
      </c>
      <c r="CS31" s="207">
        <f t="shared" si="16"/>
        <v>-49123.094280000078</v>
      </c>
      <c r="CT31" s="207">
        <f t="shared" si="17"/>
        <v>-25966.373080000049</v>
      </c>
      <c r="CU31" s="207">
        <v>0</v>
      </c>
      <c r="CV31" s="211">
        <v>0</v>
      </c>
      <c r="CW31" s="207">
        <f t="shared" si="46"/>
        <v>0</v>
      </c>
      <c r="CX31" s="206">
        <v>488533600.39999998</v>
      </c>
      <c r="CY31" s="206">
        <v>0</v>
      </c>
      <c r="CZ31" s="206">
        <v>0</v>
      </c>
      <c r="DA31" s="206">
        <v>0</v>
      </c>
      <c r="DB31" s="207">
        <f t="shared" si="47"/>
        <v>488533.6004</v>
      </c>
      <c r="DC31" s="206">
        <v>362210889.33999997</v>
      </c>
      <c r="DD31" s="206">
        <v>0</v>
      </c>
      <c r="DE31" s="206">
        <v>0</v>
      </c>
      <c r="DF31" s="206">
        <v>0</v>
      </c>
      <c r="DG31" s="207">
        <f t="shared" si="48"/>
        <v>362210.88933999999</v>
      </c>
      <c r="DH31" s="211">
        <f t="shared" si="18"/>
        <v>488533.6004</v>
      </c>
      <c r="DI31" s="211">
        <f t="shared" si="19"/>
        <v>362210.88933999999</v>
      </c>
      <c r="DJ31" s="207">
        <f t="shared" si="49"/>
        <v>74.142472297387556</v>
      </c>
      <c r="DK31" s="206">
        <v>391034000</v>
      </c>
      <c r="DL31" s="207">
        <f t="shared" si="50"/>
        <v>391034</v>
      </c>
      <c r="DM31" s="206">
        <v>225616889.18000001</v>
      </c>
      <c r="DN31" s="207">
        <f t="shared" si="50"/>
        <v>225616.88918</v>
      </c>
      <c r="DO31" s="210">
        <v>0</v>
      </c>
      <c r="DP31" s="207">
        <f t="shared" si="50"/>
        <v>0</v>
      </c>
      <c r="DQ31" s="210">
        <v>0</v>
      </c>
      <c r="DR31" s="207">
        <f t="shared" si="50"/>
        <v>0</v>
      </c>
      <c r="DS31" s="207">
        <f t="shared" si="51"/>
        <v>0</v>
      </c>
      <c r="DT31" s="207">
        <v>38939.309280000001</v>
      </c>
      <c r="DU31" s="207">
        <v>28285.6374</v>
      </c>
      <c r="DV31" s="207">
        <v>65686.981599999999</v>
      </c>
      <c r="DW31" s="207">
        <v>28037.902999999998</v>
      </c>
      <c r="DX31" s="207">
        <f t="shared" si="52"/>
        <v>26747.672319999998</v>
      </c>
      <c r="DY31" s="207">
        <f t="shared" si="53"/>
        <v>-247.73440000000119</v>
      </c>
    </row>
    <row r="32" spans="1:129" s="207" customFormat="1" x14ac:dyDescent="0.25">
      <c r="A32" s="205" t="s">
        <v>188</v>
      </c>
      <c r="B32" s="206">
        <v>111276371.64</v>
      </c>
      <c r="C32" s="206">
        <v>0</v>
      </c>
      <c r="D32" s="206">
        <v>0</v>
      </c>
      <c r="E32" s="206">
        <v>0</v>
      </c>
      <c r="F32" s="207">
        <f t="shared" si="20"/>
        <v>111276.37164</v>
      </c>
      <c r="G32" s="206">
        <v>73832833.549999997</v>
      </c>
      <c r="H32" s="206">
        <v>0</v>
      </c>
      <c r="I32" s="206">
        <v>0</v>
      </c>
      <c r="J32" s="206">
        <v>0</v>
      </c>
      <c r="K32" s="207">
        <f t="shared" si="0"/>
        <v>73832.833549999996</v>
      </c>
      <c r="L32" s="206">
        <v>0</v>
      </c>
      <c r="M32" s="206">
        <v>0</v>
      </c>
      <c r="N32" s="206">
        <v>0</v>
      </c>
      <c r="O32" s="207">
        <f t="shared" si="21"/>
        <v>0</v>
      </c>
      <c r="P32" s="206">
        <v>0</v>
      </c>
      <c r="Q32" s="206">
        <v>0</v>
      </c>
      <c r="R32" s="206">
        <v>0</v>
      </c>
      <c r="S32" s="207">
        <f t="shared" si="22"/>
        <v>0</v>
      </c>
      <c r="T32" s="206">
        <v>115972566.29000001</v>
      </c>
      <c r="U32" s="206">
        <v>0</v>
      </c>
      <c r="V32" s="206">
        <v>0</v>
      </c>
      <c r="W32" s="206">
        <v>0</v>
      </c>
      <c r="X32" s="207">
        <f t="shared" si="1"/>
        <v>115972.56629</v>
      </c>
      <c r="Y32" s="206">
        <v>78916947.5</v>
      </c>
      <c r="Z32" s="206">
        <v>0</v>
      </c>
      <c r="AA32" s="206">
        <v>0</v>
      </c>
      <c r="AB32" s="206">
        <v>0</v>
      </c>
      <c r="AC32" s="207">
        <f t="shared" si="23"/>
        <v>78916.947499999995</v>
      </c>
      <c r="AD32" s="207">
        <f t="shared" si="2"/>
        <v>111276.37164</v>
      </c>
      <c r="AE32" s="207">
        <f t="shared" si="3"/>
        <v>73832.833549999996</v>
      </c>
      <c r="AF32" s="207">
        <f t="shared" si="24"/>
        <v>66.350863585724298</v>
      </c>
      <c r="AG32" s="208">
        <v>111276</v>
      </c>
      <c r="AH32" s="208">
        <f t="shared" si="25"/>
        <v>-0.37163999999756925</v>
      </c>
      <c r="AI32" s="208">
        <v>73833</v>
      </c>
      <c r="AJ32" s="208">
        <f t="shared" si="26"/>
        <v>0.1664500000042608</v>
      </c>
      <c r="AK32" s="207">
        <f t="shared" si="4"/>
        <v>115972.56629</v>
      </c>
      <c r="AL32" s="207">
        <f t="shared" si="5"/>
        <v>78916.947499999995</v>
      </c>
      <c r="AM32" s="207">
        <f t="shared" si="27"/>
        <v>68.0479444618488</v>
      </c>
      <c r="AN32" s="206">
        <v>7616700</v>
      </c>
      <c r="AO32" s="206">
        <v>0</v>
      </c>
      <c r="AP32" s="206">
        <v>0</v>
      </c>
      <c r="AQ32" s="206">
        <v>0</v>
      </c>
      <c r="AR32" s="209">
        <f t="shared" si="6"/>
        <v>0</v>
      </c>
      <c r="AS32" s="207">
        <f t="shared" si="28"/>
        <v>7616.7</v>
      </c>
      <c r="AT32" s="206">
        <v>5087422.62</v>
      </c>
      <c r="AU32" s="206">
        <v>0</v>
      </c>
      <c r="AV32" s="206">
        <v>0</v>
      </c>
      <c r="AW32" s="206">
        <v>0</v>
      </c>
      <c r="AX32" s="209">
        <f t="shared" si="7"/>
        <v>0</v>
      </c>
      <c r="AY32" s="207">
        <f t="shared" si="29"/>
        <v>5087.4226200000003</v>
      </c>
      <c r="AZ32" s="207">
        <f t="shared" si="8"/>
        <v>7616.7</v>
      </c>
      <c r="BA32" s="207">
        <f t="shared" si="9"/>
        <v>5087.4226200000003</v>
      </c>
      <c r="BB32" s="207">
        <f t="shared" si="30"/>
        <v>66.793002481389578</v>
      </c>
      <c r="BC32" s="206">
        <v>103659671.64</v>
      </c>
      <c r="BD32" s="206">
        <v>0</v>
      </c>
      <c r="BE32" s="206">
        <v>0</v>
      </c>
      <c r="BF32" s="206">
        <v>0</v>
      </c>
      <c r="BG32" s="207">
        <f t="shared" si="31"/>
        <v>103659.67164</v>
      </c>
      <c r="BH32" s="206">
        <v>68746954.659999996</v>
      </c>
      <c r="BI32" s="206">
        <v>0</v>
      </c>
      <c r="BJ32" s="206">
        <v>0</v>
      </c>
      <c r="BK32" s="206">
        <v>0</v>
      </c>
      <c r="BL32" s="207">
        <f t="shared" si="32"/>
        <v>68746.954660000003</v>
      </c>
      <c r="BM32" s="210">
        <v>34700</v>
      </c>
      <c r="BN32" s="207">
        <f t="shared" si="33"/>
        <v>34.700000000000003</v>
      </c>
      <c r="BO32" s="210">
        <v>35682</v>
      </c>
      <c r="BP32" s="207">
        <f t="shared" si="34"/>
        <v>35.682000000000002</v>
      </c>
      <c r="BQ32" s="207">
        <f t="shared" si="10"/>
        <v>102.82997118155619</v>
      </c>
      <c r="BR32" s="210">
        <v>0</v>
      </c>
      <c r="BS32" s="207">
        <f t="shared" si="35"/>
        <v>0</v>
      </c>
      <c r="BT32" s="375">
        <v>0</v>
      </c>
      <c r="BU32" s="207">
        <f t="shared" si="36"/>
        <v>0</v>
      </c>
      <c r="BW32" s="210">
        <v>200000</v>
      </c>
      <c r="BX32" s="207">
        <f t="shared" si="37"/>
        <v>200</v>
      </c>
      <c r="BY32" s="210">
        <v>43352</v>
      </c>
      <c r="BZ32" s="207">
        <f t="shared" si="38"/>
        <v>43.351999999999997</v>
      </c>
      <c r="CA32" s="210">
        <v>86701</v>
      </c>
      <c r="CB32" s="207">
        <f t="shared" si="39"/>
        <v>86.700999999999993</v>
      </c>
      <c r="CD32" s="207">
        <f t="shared" si="40"/>
        <v>43.348999999999997</v>
      </c>
      <c r="CE32" s="207">
        <f t="shared" si="41"/>
        <v>99.993079904041338</v>
      </c>
      <c r="CF32" s="210">
        <v>223571.64</v>
      </c>
      <c r="CG32" s="207">
        <f t="shared" si="42"/>
        <v>223.57164</v>
      </c>
      <c r="CH32" s="210">
        <v>84990</v>
      </c>
      <c r="CI32" s="207">
        <f t="shared" si="43"/>
        <v>84.99</v>
      </c>
      <c r="CK32" s="207">
        <v>18254.175629999998</v>
      </c>
      <c r="CL32" s="207">
        <v>1.54373</v>
      </c>
      <c r="CM32" s="210">
        <v>13170061.68</v>
      </c>
      <c r="CN32" s="207">
        <f t="shared" si="44"/>
        <v>13170.061679999999</v>
      </c>
      <c r="CO32" s="210">
        <v>1543.73</v>
      </c>
      <c r="CP32" s="207">
        <f t="shared" si="45"/>
        <v>1.54373</v>
      </c>
      <c r="CQ32" s="207">
        <f t="shared" si="14"/>
        <v>-5084.113949999999</v>
      </c>
      <c r="CR32" s="207">
        <f t="shared" si="15"/>
        <v>0</v>
      </c>
      <c r="CS32" s="207">
        <f t="shared" si="16"/>
        <v>-4696.1946500000049</v>
      </c>
      <c r="CT32" s="207">
        <f t="shared" si="17"/>
        <v>-5084.113949999999</v>
      </c>
      <c r="CU32" s="207">
        <v>0</v>
      </c>
      <c r="CV32" s="211">
        <v>0</v>
      </c>
      <c r="CW32" s="207">
        <f t="shared" si="46"/>
        <v>0</v>
      </c>
      <c r="CX32" s="206">
        <v>7616700</v>
      </c>
      <c r="CY32" s="206">
        <v>0</v>
      </c>
      <c r="CZ32" s="206">
        <v>0</v>
      </c>
      <c r="DA32" s="206">
        <v>0</v>
      </c>
      <c r="DB32" s="207">
        <f t="shared" si="47"/>
        <v>7616.7</v>
      </c>
      <c r="DC32" s="206">
        <v>5085878.8899999997</v>
      </c>
      <c r="DD32" s="206">
        <v>0</v>
      </c>
      <c r="DE32" s="206">
        <v>0</v>
      </c>
      <c r="DF32" s="206">
        <v>0</v>
      </c>
      <c r="DG32" s="207">
        <f t="shared" si="48"/>
        <v>5085.87889</v>
      </c>
      <c r="DH32" s="211">
        <f t="shared" si="18"/>
        <v>7616.7</v>
      </c>
      <c r="DI32" s="211">
        <f t="shared" si="19"/>
        <v>5085.87889</v>
      </c>
      <c r="DJ32" s="207">
        <f t="shared" si="49"/>
        <v>66.772734780154138</v>
      </c>
      <c r="DK32" s="206">
        <v>102694400</v>
      </c>
      <c r="DL32" s="207">
        <f t="shared" si="50"/>
        <v>102694.39999999999</v>
      </c>
      <c r="DM32" s="206">
        <v>68449309.959999993</v>
      </c>
      <c r="DN32" s="207">
        <f t="shared" si="50"/>
        <v>68449.309959999999</v>
      </c>
      <c r="DO32" s="210">
        <v>0</v>
      </c>
      <c r="DP32" s="207">
        <f t="shared" si="50"/>
        <v>0</v>
      </c>
      <c r="DQ32" s="210">
        <v>0</v>
      </c>
      <c r="DR32" s="207">
        <f t="shared" si="50"/>
        <v>0</v>
      </c>
      <c r="DS32" s="207">
        <f t="shared" si="51"/>
        <v>0</v>
      </c>
      <c r="DT32" s="207">
        <v>24.347660000000001</v>
      </c>
      <c r="DU32" s="207">
        <v>0</v>
      </c>
      <c r="DV32" s="207">
        <v>358.8374</v>
      </c>
      <c r="DW32" s="207">
        <v>0</v>
      </c>
      <c r="DX32" s="207">
        <f t="shared" si="52"/>
        <v>334.48973999999998</v>
      </c>
      <c r="DY32" s="207">
        <f t="shared" si="53"/>
        <v>0</v>
      </c>
    </row>
    <row r="33" spans="1:131" s="200" customFormat="1" x14ac:dyDescent="0.25">
      <c r="A33" s="202" t="s">
        <v>189</v>
      </c>
      <c r="B33" s="203"/>
      <c r="C33" s="203"/>
      <c r="D33" s="203"/>
      <c r="E33" s="203"/>
      <c r="F33" s="203">
        <f>SUM(F7:F32)</f>
        <v>34241596.451189995</v>
      </c>
      <c r="G33" s="203"/>
      <c r="H33" s="203"/>
      <c r="I33" s="203"/>
      <c r="J33" s="203"/>
      <c r="K33" s="203">
        <f>SUM(K7:K32)</f>
        <v>24069898.763730001</v>
      </c>
      <c r="L33" s="203">
        <f t="shared" ref="L33:N33" si="54">SUM(L7:L32)</f>
        <v>1190025342.9100003</v>
      </c>
      <c r="M33" s="203">
        <f t="shared" si="54"/>
        <v>38414216</v>
      </c>
      <c r="N33" s="203">
        <f t="shared" si="54"/>
        <v>55603794.289999999</v>
      </c>
      <c r="O33" s="203">
        <f>SUM(O7:O32)</f>
        <v>1284043.3532</v>
      </c>
      <c r="P33" s="203">
        <f t="shared" ref="P33:R33" si="55">SUM(P7:P32)</f>
        <v>709014371.19999993</v>
      </c>
      <c r="Q33" s="203">
        <f t="shared" si="55"/>
        <v>27615208.650000002</v>
      </c>
      <c r="R33" s="203">
        <f t="shared" si="55"/>
        <v>36046792.960000001</v>
      </c>
      <c r="S33" s="203">
        <f>SUM(S7:S32)</f>
        <v>772676.37281000009</v>
      </c>
      <c r="T33" s="198"/>
      <c r="U33" s="198"/>
      <c r="V33" s="198"/>
      <c r="W33" s="198"/>
      <c r="X33" s="203">
        <f>SUM(X7:X32)</f>
        <v>35548040.554200001</v>
      </c>
      <c r="Y33" s="198"/>
      <c r="Z33" s="198"/>
      <c r="AA33" s="198"/>
      <c r="AB33" s="198"/>
      <c r="AC33" s="203">
        <f>SUM(AC7:AC32)</f>
        <v>24179147.793150004</v>
      </c>
      <c r="AD33" s="203">
        <f>SUM(AD7:AD32)</f>
        <v>32957553.097990002</v>
      </c>
      <c r="AE33" s="203">
        <f>SUM(AE7:AE32)</f>
        <v>23297222.390919998</v>
      </c>
      <c r="AF33" s="203">
        <f t="shared" si="24"/>
        <v>70.688568176321425</v>
      </c>
      <c r="AG33" s="255">
        <f>SUM(AG7:AG32)</f>
        <v>32958960</v>
      </c>
      <c r="AH33" s="255">
        <f t="shared" ref="AH33:AJ33" si="56">SUM(AH7:AH32)</f>
        <v>1406.902010000631</v>
      </c>
      <c r="AI33" s="255">
        <f>SUM(AI7:AI32)</f>
        <v>23298820</v>
      </c>
      <c r="AJ33" s="255">
        <f t="shared" si="56"/>
        <v>1597.6090799994854</v>
      </c>
      <c r="AK33" s="203">
        <f>SUM(AK7:AK32)</f>
        <v>34263997.200999998</v>
      </c>
      <c r="AL33" s="203">
        <f>SUM(AL7:AL32)</f>
        <v>23406471.420340002</v>
      </c>
      <c r="AM33" s="203">
        <f t="shared" si="27"/>
        <v>68.312144911268206</v>
      </c>
      <c r="AN33" s="198"/>
      <c r="AO33" s="198"/>
      <c r="AP33" s="198"/>
      <c r="AQ33" s="198"/>
      <c r="AR33" s="198">
        <f>SUM(AR7:AR32)</f>
        <v>804000</v>
      </c>
      <c r="AS33" s="203">
        <f>SUM(AS7:AS32)</f>
        <v>21093698.185509998</v>
      </c>
      <c r="AT33" s="203"/>
      <c r="AU33" s="203"/>
      <c r="AV33" s="203"/>
      <c r="AW33" s="203"/>
      <c r="AX33" s="198">
        <f>SUM(AX7:AX32)</f>
        <v>1597521.799999997</v>
      </c>
      <c r="AY33" s="203">
        <f>SUM(AY7:AY32)</f>
        <v>14775638.55002</v>
      </c>
      <c r="AZ33" s="203">
        <f>SUM(AZ7:AZ32)</f>
        <v>19809654.832310002</v>
      </c>
      <c r="BA33" s="203">
        <f>SUM(BA7:BA32)</f>
        <v>14002962.177209999</v>
      </c>
      <c r="BB33" s="203">
        <f t="shared" si="30"/>
        <v>70.687562684690732</v>
      </c>
      <c r="BC33" s="198"/>
      <c r="BD33" s="198"/>
      <c r="BE33" s="198"/>
      <c r="BF33" s="198"/>
      <c r="BG33" s="203">
        <f>SUM(BG7:BG32)</f>
        <v>13235815.386949999</v>
      </c>
      <c r="BH33" s="198"/>
      <c r="BI33" s="198"/>
      <c r="BJ33" s="198"/>
      <c r="BK33" s="198"/>
      <c r="BL33" s="203">
        <f>SUM(BL7:BL32)</f>
        <v>9377186.6915800013</v>
      </c>
      <c r="BM33" s="203">
        <f t="shared" ref="BM33:BO33" si="57">SUM(BM7:BM32)</f>
        <v>1141175887.95</v>
      </c>
      <c r="BN33" s="203">
        <f>SUM(BN7:BN32)</f>
        <v>1141175.8879500001</v>
      </c>
      <c r="BO33" s="203">
        <f t="shared" si="57"/>
        <v>846004522.17999995</v>
      </c>
      <c r="BP33" s="203">
        <f>SUM(BP7:BP32)</f>
        <v>846004.52218000009</v>
      </c>
      <c r="BQ33" s="203">
        <f>BP33/BN33%</f>
        <v>74.134454742095571</v>
      </c>
      <c r="BR33" s="203">
        <f t="shared" ref="BR33:BT33" si="58">SUM(BR7:BR32)</f>
        <v>624181528.95000005</v>
      </c>
      <c r="BS33" s="203">
        <f>SUM(BS7:BS32)</f>
        <v>624181.52895000007</v>
      </c>
      <c r="BT33" s="203">
        <f t="shared" si="58"/>
        <v>553899873.41000009</v>
      </c>
      <c r="BU33" s="203">
        <f>SUM(BU7:BU32)</f>
        <v>553899.87340999977</v>
      </c>
      <c r="BV33" s="203">
        <f>BU33/BS33%</f>
        <v>88.740189787700345</v>
      </c>
      <c r="BW33" s="203">
        <f t="shared" ref="BW33" si="59">SUM(BW7:BW32)</f>
        <v>870247838.54999995</v>
      </c>
      <c r="BX33" s="203">
        <f>SUM(BX7:BX32)</f>
        <v>870247.83854999999</v>
      </c>
      <c r="BY33" s="203">
        <f t="shared" ref="BY33:BZ33" si="60">SUM(BY7:BY32)</f>
        <v>449756918.94</v>
      </c>
      <c r="BZ33" s="203">
        <f t="shared" si="60"/>
        <v>449756.91894000006</v>
      </c>
      <c r="CA33" s="203">
        <f t="shared" ref="CA33" si="61">SUM(CA7:CA32)</f>
        <v>445492754.42999995</v>
      </c>
      <c r="CB33" s="203">
        <f>SUM(CB7:CB32)</f>
        <v>445492.75443000003</v>
      </c>
      <c r="CC33" s="203">
        <f>CB33/BX33%</f>
        <v>51.191480713388096</v>
      </c>
      <c r="CD33" s="203">
        <f t="shared" ref="CD33:CF33" si="62">SUM(CD7:CD32)</f>
        <v>-4264.1645100000114</v>
      </c>
      <c r="CE33" s="207">
        <f t="shared" si="41"/>
        <v>-0.94810426041915719</v>
      </c>
      <c r="CF33" s="203">
        <f t="shared" si="62"/>
        <v>1089257936.0900002</v>
      </c>
      <c r="CG33" s="203">
        <f>SUM(CG7:CG32)</f>
        <v>1089257.93609</v>
      </c>
      <c r="CH33" s="203">
        <f t="shared" ref="CH33" si="63">SUM(CH7:CH32)</f>
        <v>784331124.97000015</v>
      </c>
      <c r="CI33" s="203">
        <f>SUM(CI7:CI32)</f>
        <v>784331.12497</v>
      </c>
      <c r="CJ33" s="203">
        <f>CI33/CG33%</f>
        <v>72.006005096041335</v>
      </c>
      <c r="CK33" s="203">
        <f t="shared" ref="CK33:DI33" si="64">SUM(CK7:CK32)</f>
        <v>781571.45194000006</v>
      </c>
      <c r="CL33" s="203">
        <f t="shared" si="64"/>
        <v>212154.856</v>
      </c>
      <c r="CM33" s="203"/>
      <c r="CN33" s="203">
        <f t="shared" si="64"/>
        <v>1444539.12827</v>
      </c>
      <c r="CO33" s="203">
        <f t="shared" si="64"/>
        <v>65322309.75</v>
      </c>
      <c r="CP33" s="203">
        <f t="shared" si="64"/>
        <v>65322.309749999986</v>
      </c>
      <c r="CQ33" s="203">
        <f t="shared" si="64"/>
        <v>662967.67632999993</v>
      </c>
      <c r="CR33" s="203">
        <f t="shared" si="64"/>
        <v>-146832.54625000001</v>
      </c>
      <c r="CS33" s="203">
        <f>SUM(CS7:CS32)</f>
        <v>-1306444.10301</v>
      </c>
      <c r="CT33" s="203">
        <f>SUM(CT7:CT32)</f>
        <v>-109249.02941999896</v>
      </c>
      <c r="CU33" s="203">
        <f t="shared" ref="CU33:CV33" si="65">SUM(CU7:CU32)</f>
        <v>4031673.09</v>
      </c>
      <c r="CV33" s="203">
        <f t="shared" si="65"/>
        <v>3765367.0890000002</v>
      </c>
      <c r="CW33" s="203">
        <f t="shared" si="64"/>
        <v>-266306.00099999999</v>
      </c>
      <c r="CX33" s="203"/>
      <c r="CY33" s="203"/>
      <c r="CZ33" s="203"/>
      <c r="DA33" s="203"/>
      <c r="DB33" s="203">
        <f t="shared" si="64"/>
        <v>21005781.064239997</v>
      </c>
      <c r="DC33" s="203"/>
      <c r="DD33" s="203"/>
      <c r="DE33" s="203"/>
      <c r="DF33" s="203"/>
      <c r="DG33" s="203">
        <f t="shared" si="64"/>
        <v>14692712.072150003</v>
      </c>
      <c r="DH33" s="203">
        <f t="shared" si="64"/>
        <v>19721737.711039998</v>
      </c>
      <c r="DI33" s="203">
        <f t="shared" si="64"/>
        <v>13920035.699340001</v>
      </c>
      <c r="DJ33" s="203">
        <f t="shared" si="49"/>
        <v>70.582196677059187</v>
      </c>
      <c r="DK33" s="203"/>
      <c r="DL33" s="203">
        <f t="shared" ref="DL33:DN33" si="66">SUM(DL7:DL32)</f>
        <v>8621478.6668600012</v>
      </c>
      <c r="DM33" s="198"/>
      <c r="DN33" s="203">
        <f t="shared" si="66"/>
        <v>6088345.3453699993</v>
      </c>
      <c r="DO33" s="203"/>
      <c r="DP33" s="203">
        <f t="shared" ref="DP33" si="67">SUM(DP7:DP32)</f>
        <v>165819.42350999999</v>
      </c>
      <c r="DQ33" s="203"/>
      <c r="DR33" s="203">
        <f t="shared" ref="DR33:DS33" si="68">SUM(DR7:DR32)</f>
        <v>122721.61791999999</v>
      </c>
      <c r="DS33" s="203">
        <f t="shared" si="68"/>
        <v>-43097.805589999996</v>
      </c>
      <c r="DT33" s="203">
        <f t="shared" ref="DT33:DY33" si="69">SUM(DT7:DT32)</f>
        <v>1138967.67686</v>
      </c>
      <c r="DU33" s="203">
        <f t="shared" si="69"/>
        <v>366441.02436000004</v>
      </c>
      <c r="DV33" s="203">
        <f t="shared" si="69"/>
        <v>2722025.9443999999</v>
      </c>
      <c r="DW33" s="203">
        <f t="shared" si="69"/>
        <v>425017.8775</v>
      </c>
      <c r="DX33" s="203">
        <f t="shared" si="69"/>
        <v>1583058.2675399999</v>
      </c>
      <c r="DY33" s="203">
        <f t="shared" si="69"/>
        <v>58576.853139999985</v>
      </c>
      <c r="DZ33" s="203"/>
      <c r="EA33" s="203"/>
    </row>
    <row r="34" spans="1:131" x14ac:dyDescent="0.25">
      <c r="A34" s="204"/>
      <c r="B34" s="200"/>
      <c r="C34" s="200"/>
      <c r="D34" s="200"/>
      <c r="E34" s="200"/>
      <c r="F34" s="199"/>
      <c r="G34" s="200"/>
      <c r="H34" s="200"/>
      <c r="I34" s="200"/>
      <c r="J34" s="200"/>
      <c r="K34" s="199"/>
      <c r="L34" s="200"/>
      <c r="M34" s="200"/>
      <c r="N34" s="200"/>
      <c r="O34" s="199"/>
      <c r="P34" s="200"/>
      <c r="Q34" s="200"/>
      <c r="R34" s="200"/>
      <c r="S34" s="199"/>
      <c r="T34" s="200"/>
      <c r="U34" s="200"/>
      <c r="V34" s="200"/>
      <c r="W34" s="200"/>
      <c r="X34" s="199"/>
      <c r="Y34" s="200"/>
      <c r="Z34" s="200"/>
      <c r="AA34" s="200"/>
      <c r="AB34" s="200"/>
      <c r="AC34" s="199"/>
      <c r="AD34" s="199">
        <f>'1.1. Конс.'!R38*1000</f>
        <v>32957553.097989999</v>
      </c>
      <c r="AE34" s="199">
        <f>'1.1. Конс.'!X38*1000</f>
        <v>23297222.390920006</v>
      </c>
      <c r="AF34" s="199">
        <f t="shared" si="24"/>
        <v>70.688568176321468</v>
      </c>
      <c r="AG34" s="199"/>
      <c r="AH34" s="199"/>
      <c r="AI34" s="199"/>
      <c r="AJ34" s="199"/>
      <c r="AK34" s="199">
        <f>'1.1. Конс.'!R129*1000</f>
        <v>34263997.201000005</v>
      </c>
      <c r="AL34" s="199">
        <f>'1.1. Конс.'!X129*1000</f>
        <v>23406471.420340002</v>
      </c>
      <c r="AM34" s="199">
        <f t="shared" si="27"/>
        <v>68.312144911268206</v>
      </c>
      <c r="AN34" s="200"/>
      <c r="AO34" s="200"/>
      <c r="AP34" s="200"/>
      <c r="AQ34" s="200"/>
      <c r="AR34" s="199"/>
      <c r="AS34" s="199"/>
      <c r="AT34" s="200"/>
      <c r="AU34" s="200"/>
      <c r="AV34" s="200"/>
      <c r="AW34" s="200"/>
      <c r="AX34" s="199"/>
      <c r="AY34" s="199"/>
      <c r="AZ34" s="199">
        <f>'1.1. Конс.'!R31*1000</f>
        <v>19809654.832309995</v>
      </c>
      <c r="BA34" s="199">
        <f>'1.1. Конс.'!X31*1000</f>
        <v>14002962.177209996</v>
      </c>
      <c r="BB34" s="199">
        <f t="shared" si="30"/>
        <v>70.687562684690747</v>
      </c>
      <c r="BC34" s="200"/>
      <c r="BD34" s="200"/>
      <c r="BE34" s="200"/>
      <c r="BF34" s="200"/>
      <c r="BG34" s="199">
        <f>'1.1. Конс.'!R11*1000</f>
        <v>13235815.386949999</v>
      </c>
      <c r="BH34" s="200"/>
      <c r="BI34" s="200"/>
      <c r="BJ34" s="200"/>
      <c r="BK34" s="200"/>
      <c r="BL34" s="199">
        <f>'1.1. Конс.'!X11*1000</f>
        <v>9377186.6915799994</v>
      </c>
      <c r="BM34" s="200"/>
      <c r="BN34" s="199">
        <f>'1.1. Конс.'!R15*1000</f>
        <v>1141175.8879500001</v>
      </c>
      <c r="BO34" s="200"/>
      <c r="BP34" s="199">
        <f>'1.1. Конс.'!X15*1000</f>
        <v>846004.52218000009</v>
      </c>
      <c r="BQ34" s="199">
        <f>BP34/BN34%</f>
        <v>74.134454742095571</v>
      </c>
      <c r="BR34" s="200"/>
      <c r="BS34" s="199">
        <f>'1.1. Конс.'!R23*1000</f>
        <v>624181.52895000007</v>
      </c>
      <c r="BT34" s="200"/>
      <c r="BU34" s="199">
        <f>'1.1. Конс.'!X23*1000</f>
        <v>553899.87340999988</v>
      </c>
      <c r="BV34" s="199">
        <f>BU34/BS34%</f>
        <v>88.740189787700359</v>
      </c>
      <c r="BW34" s="199"/>
      <c r="BX34" s="199">
        <f>'1.1. Конс.'!R16*1000</f>
        <v>870247.83854999999</v>
      </c>
      <c r="BY34" s="200"/>
      <c r="BZ34" s="199"/>
      <c r="CA34" s="199"/>
      <c r="CB34" s="199">
        <f>'1.1. Конс.'!X16*1000</f>
        <v>445492.75442999991</v>
      </c>
      <c r="CC34" s="199">
        <f>CB34/BX34%</f>
        <v>51.191480713388081</v>
      </c>
      <c r="CD34" s="199"/>
      <c r="CE34" s="199"/>
      <c r="CF34" s="199"/>
      <c r="CG34" s="199">
        <f>'1.1. Конс.'!R20*1000</f>
        <v>1089257.93609</v>
      </c>
      <c r="CH34" s="199"/>
      <c r="CI34" s="199">
        <f>'1.1. Конс.'!X20*1000</f>
        <v>784331.12497</v>
      </c>
      <c r="CJ34" s="199">
        <f>CI34/CG34%</f>
        <v>72.006005096041335</v>
      </c>
      <c r="CK34" s="199">
        <f>'1.1. Конс.'!R159*1000</f>
        <v>781571.34273999999</v>
      </c>
      <c r="CL34" s="199">
        <f>'1.1. Конс.'!R160*1000</f>
        <v>212154.856</v>
      </c>
      <c r="CM34" s="200"/>
      <c r="CN34" s="199">
        <f>'1.1. Конс.'!X159*1000</f>
        <v>1444539.12827</v>
      </c>
      <c r="CO34" s="200"/>
      <c r="CP34" s="199">
        <f>'1.1. Конс.'!X160*1000</f>
        <v>65322.30975</v>
      </c>
      <c r="CQ34" s="199"/>
      <c r="CR34" s="199"/>
      <c r="CS34" s="199"/>
      <c r="CT34" s="199"/>
      <c r="CU34" s="199">
        <f>'1.1. Конс.'!R164*1000</f>
        <v>4031673.09</v>
      </c>
      <c r="CV34" s="199">
        <f>'1.1. Конс.'!X164*1000</f>
        <v>3765367.0889999997</v>
      </c>
      <c r="CW34" s="199"/>
      <c r="CX34" s="200"/>
      <c r="CY34" s="200"/>
      <c r="CZ34" s="200"/>
      <c r="DA34" s="200"/>
      <c r="DB34" s="199"/>
      <c r="DC34" s="200"/>
      <c r="DD34" s="200"/>
      <c r="DE34" s="200"/>
      <c r="DF34" s="200"/>
      <c r="DG34" s="199"/>
      <c r="DH34" s="199">
        <f>'1.1. Конс.'!R29*1000</f>
        <v>19721737.711039998</v>
      </c>
      <c r="DI34" s="199">
        <f>'1.1. Конс.'!X29*1000</f>
        <v>13920035.699340001</v>
      </c>
      <c r="DJ34" s="199">
        <f t="shared" si="49"/>
        <v>70.582196677059187</v>
      </c>
      <c r="DK34" s="200"/>
      <c r="DL34" s="199">
        <f>'1.1. Конс.'!R13*1000</f>
        <v>8621478.6668600012</v>
      </c>
      <c r="DM34" s="200"/>
      <c r="DN34" s="199">
        <f>'1.1. Конс.'!X13*1000</f>
        <v>6088345.3453700012</v>
      </c>
      <c r="DO34" s="200"/>
      <c r="DP34" s="199"/>
      <c r="DQ34" s="200"/>
      <c r="DR34" s="199"/>
      <c r="DS34" s="199"/>
    </row>
    <row r="35" spans="1:131" x14ac:dyDescent="0.25">
      <c r="A35" s="204"/>
      <c r="B35" s="200"/>
      <c r="C35" s="200"/>
      <c r="D35" s="200"/>
      <c r="E35" s="200"/>
      <c r="F35" s="199"/>
      <c r="G35" s="200"/>
      <c r="H35" s="200"/>
      <c r="I35" s="200"/>
      <c r="J35" s="200"/>
      <c r="K35" s="199"/>
      <c r="L35" s="200"/>
      <c r="M35" s="200"/>
      <c r="N35" s="200"/>
      <c r="O35" s="199"/>
      <c r="P35" s="199"/>
      <c r="Q35" s="199"/>
      <c r="R35" s="199"/>
      <c r="S35" s="199"/>
      <c r="T35" s="200"/>
      <c r="U35" s="200"/>
      <c r="V35" s="200"/>
      <c r="W35" s="200"/>
      <c r="X35" s="199"/>
      <c r="Y35" s="200"/>
      <c r="Z35" s="200"/>
      <c r="AA35" s="200"/>
      <c r="AB35" s="200"/>
      <c r="AC35" s="199"/>
      <c r="AD35" s="199">
        <f>AD34-AD33</f>
        <v>0</v>
      </c>
      <c r="AE35" s="199">
        <f>AE34-AE33</f>
        <v>0</v>
      </c>
      <c r="AF35" s="199"/>
      <c r="AG35" s="199"/>
      <c r="AH35" s="199"/>
      <c r="AI35" s="199"/>
      <c r="AJ35" s="199"/>
      <c r="AK35" s="199">
        <f>AK34-AK33</f>
        <v>0</v>
      </c>
      <c r="AL35" s="199">
        <f>AL34-AL33</f>
        <v>0</v>
      </c>
      <c r="AM35" s="199"/>
      <c r="AN35" s="200"/>
      <c r="AO35" s="200"/>
      <c r="AP35" s="200"/>
      <c r="AQ35" s="200"/>
      <c r="AR35" s="199"/>
      <c r="AS35" s="199"/>
      <c r="AT35" s="200"/>
      <c r="AU35" s="200"/>
      <c r="AV35" s="200"/>
      <c r="AW35" s="200"/>
      <c r="AX35" s="199"/>
      <c r="AY35" s="199"/>
      <c r="AZ35" s="199">
        <f>AZ34-AZ33</f>
        <v>0</v>
      </c>
      <c r="BA35" s="199">
        <f>BA34-BA33</f>
        <v>0</v>
      </c>
      <c r="BB35" s="199"/>
      <c r="BC35" s="200"/>
      <c r="BD35" s="200"/>
      <c r="BE35" s="200"/>
      <c r="BF35" s="200"/>
      <c r="BG35" s="199">
        <f>BG34-BG33</f>
        <v>0</v>
      </c>
      <c r="BH35" s="199"/>
      <c r="BI35" s="199"/>
      <c r="BJ35" s="199"/>
      <c r="BK35" s="199"/>
      <c r="BL35" s="199">
        <f t="shared" ref="BL35:BP35" si="70">BL34-BL33</f>
        <v>0</v>
      </c>
      <c r="BM35" s="199"/>
      <c r="BN35" s="199">
        <f t="shared" si="70"/>
        <v>0</v>
      </c>
      <c r="BO35" s="199"/>
      <c r="BP35" s="199">
        <f t="shared" si="70"/>
        <v>0</v>
      </c>
      <c r="BQ35" s="199"/>
      <c r="BR35" s="200"/>
      <c r="BS35" s="199">
        <f>BS34-BS33</f>
        <v>0</v>
      </c>
      <c r="BT35" s="200"/>
      <c r="BU35" s="199">
        <f>BU34-BU33</f>
        <v>0</v>
      </c>
      <c r="BV35" s="199"/>
      <c r="BW35" s="199"/>
      <c r="BX35" s="199">
        <f>BX34-BX33</f>
        <v>0</v>
      </c>
      <c r="BY35" s="200"/>
      <c r="BZ35" s="199"/>
      <c r="CA35" s="199"/>
      <c r="CB35" s="199">
        <f>CB34-CB33</f>
        <v>0</v>
      </c>
      <c r="CC35" s="199"/>
      <c r="CD35" s="199"/>
      <c r="CE35" s="199"/>
      <c r="CF35" s="199"/>
      <c r="CG35" s="199">
        <f>CG34-CG33</f>
        <v>0</v>
      </c>
      <c r="CH35" s="199"/>
      <c r="CI35" s="199">
        <f>CI34-CI33</f>
        <v>0</v>
      </c>
      <c r="CJ35" s="199"/>
      <c r="CK35" s="199">
        <f>CK34-CK33</f>
        <v>-0.10920000006444752</v>
      </c>
      <c r="CL35" s="199">
        <f>CL34-CL33</f>
        <v>0</v>
      </c>
      <c r="CM35" s="200"/>
      <c r="CN35" s="199">
        <f>CN34-CN33</f>
        <v>0</v>
      </c>
      <c r="CO35" s="200"/>
      <c r="CP35" s="199">
        <f>CP34-CP33</f>
        <v>0</v>
      </c>
      <c r="CQ35" s="199"/>
      <c r="CR35" s="199"/>
      <c r="CS35" s="199"/>
      <c r="CT35" s="199"/>
      <c r="CU35" s="199">
        <f>CU34-CU33</f>
        <v>0</v>
      </c>
      <c r="CV35" s="199">
        <f>CV34-CV33</f>
        <v>0</v>
      </c>
      <c r="CW35" s="199"/>
      <c r="CX35" s="200"/>
      <c r="CY35" s="200"/>
      <c r="CZ35" s="200"/>
      <c r="DA35" s="200"/>
      <c r="DB35" s="199"/>
      <c r="DC35" s="200"/>
      <c r="DD35" s="200"/>
      <c r="DE35" s="200"/>
      <c r="DF35" s="200"/>
      <c r="DG35" s="199"/>
      <c r="DH35" s="199">
        <f>DH34-DH33</f>
        <v>0</v>
      </c>
      <c r="DI35" s="199">
        <f>DI34-DI33</f>
        <v>0</v>
      </c>
      <c r="DJ35" s="199"/>
      <c r="DK35" s="200"/>
      <c r="DL35" s="199">
        <f>DL34-DL33</f>
        <v>0</v>
      </c>
      <c r="DM35" s="200"/>
      <c r="DN35" s="199">
        <f>DN34-DN33</f>
        <v>0</v>
      </c>
      <c r="DO35" s="200"/>
      <c r="DP35" s="199"/>
      <c r="DQ35" s="200"/>
      <c r="DR35" s="199"/>
      <c r="DS35" s="199"/>
    </row>
    <row r="36" spans="1:131" x14ac:dyDescent="0.25">
      <c r="AY36" s="211" t="s">
        <v>225</v>
      </c>
      <c r="AZ36" s="211" t="s">
        <v>226</v>
      </c>
      <c r="CF36" s="201">
        <v>15</v>
      </c>
    </row>
    <row r="37" spans="1:131" x14ac:dyDescent="0.25">
      <c r="A37" s="197" t="s">
        <v>163</v>
      </c>
      <c r="AY37" s="199">
        <v>639468.44388000004</v>
      </c>
      <c r="AZ37" s="373">
        <f>AY37-BA7</f>
        <v>1586.7000000000698</v>
      </c>
      <c r="CF37" s="201">
        <v>11</v>
      </c>
    </row>
    <row r="38" spans="1:131" x14ac:dyDescent="0.25">
      <c r="A38" s="197" t="s">
        <v>164</v>
      </c>
      <c r="AY38" s="199">
        <v>383957.50737000001</v>
      </c>
      <c r="AZ38" s="207">
        <f t="shared" ref="AZ38:AZ62" si="71">AY38-BA8</f>
        <v>0</v>
      </c>
      <c r="CD38" s="199"/>
      <c r="CE38" s="199"/>
    </row>
    <row r="39" spans="1:131" x14ac:dyDescent="0.25">
      <c r="A39" s="197" t="s">
        <v>165</v>
      </c>
      <c r="AY39" s="199">
        <v>246198.78196000002</v>
      </c>
      <c r="AZ39" s="207">
        <f t="shared" si="71"/>
        <v>0</v>
      </c>
    </row>
    <row r="40" spans="1:131" x14ac:dyDescent="0.25">
      <c r="A40" s="197" t="s">
        <v>166</v>
      </c>
      <c r="AY40" s="199">
        <v>327592.20222000004</v>
      </c>
      <c r="AZ40" s="207">
        <f t="shared" si="71"/>
        <v>0</v>
      </c>
    </row>
    <row r="41" spans="1:131" x14ac:dyDescent="0.25">
      <c r="A41" s="197" t="s">
        <v>167</v>
      </c>
      <c r="AY41" s="199">
        <v>303353.08094000001</v>
      </c>
      <c r="AZ41" s="207">
        <f t="shared" si="71"/>
        <v>0</v>
      </c>
    </row>
    <row r="42" spans="1:131" x14ac:dyDescent="0.25">
      <c r="A42" s="197" t="s">
        <v>168</v>
      </c>
      <c r="AY42" s="199">
        <v>485232.35612999997</v>
      </c>
      <c r="AZ42" s="207">
        <f t="shared" si="71"/>
        <v>0</v>
      </c>
    </row>
    <row r="43" spans="1:131" x14ac:dyDescent="0.25">
      <c r="A43" s="197" t="s">
        <v>169</v>
      </c>
      <c r="AY43" s="199">
        <v>271512.27713</v>
      </c>
      <c r="AZ43" s="207">
        <f t="shared" si="71"/>
        <v>0</v>
      </c>
    </row>
    <row r="44" spans="1:131" x14ac:dyDescent="0.25">
      <c r="A44" s="197" t="s">
        <v>170</v>
      </c>
      <c r="AY44" s="199">
        <v>439460.19065</v>
      </c>
      <c r="AZ44" s="207">
        <f t="shared" si="71"/>
        <v>0</v>
      </c>
    </row>
    <row r="45" spans="1:131" x14ac:dyDescent="0.25">
      <c r="A45" s="197" t="s">
        <v>171</v>
      </c>
      <c r="AY45" s="199">
        <v>291324.69026999996</v>
      </c>
      <c r="AZ45" s="207">
        <f t="shared" si="71"/>
        <v>0</v>
      </c>
    </row>
    <row r="46" spans="1:131" x14ac:dyDescent="0.25">
      <c r="A46" s="197" t="s">
        <v>172</v>
      </c>
      <c r="AY46" s="199">
        <v>236547.91172</v>
      </c>
      <c r="AZ46" s="207">
        <f t="shared" si="71"/>
        <v>0</v>
      </c>
    </row>
    <row r="47" spans="1:131" x14ac:dyDescent="0.25">
      <c r="A47" s="197" t="s">
        <v>173</v>
      </c>
      <c r="AY47" s="199">
        <v>226968.13115</v>
      </c>
      <c r="AZ47" s="207">
        <f t="shared" si="71"/>
        <v>0</v>
      </c>
    </row>
    <row r="48" spans="1:131" x14ac:dyDescent="0.25">
      <c r="A48" s="197" t="s">
        <v>174</v>
      </c>
      <c r="AY48" s="199">
        <v>333856.46747000003</v>
      </c>
      <c r="AZ48" s="207">
        <f t="shared" si="71"/>
        <v>0</v>
      </c>
    </row>
    <row r="49" spans="1:52" x14ac:dyDescent="0.25">
      <c r="A49" s="197" t="s">
        <v>175</v>
      </c>
      <c r="AY49" s="199">
        <v>403325.59219</v>
      </c>
      <c r="AZ49" s="207">
        <f t="shared" si="71"/>
        <v>0</v>
      </c>
    </row>
    <row r="50" spans="1:52" x14ac:dyDescent="0.25">
      <c r="A50" s="197" t="s">
        <v>176</v>
      </c>
      <c r="AY50" s="199">
        <v>631422.50315999996</v>
      </c>
      <c r="AZ50" s="207">
        <f t="shared" si="71"/>
        <v>0</v>
      </c>
    </row>
    <row r="51" spans="1:52" x14ac:dyDescent="0.25">
      <c r="A51" s="197" t="s">
        <v>177</v>
      </c>
      <c r="AY51" s="199">
        <v>597500.23707999999</v>
      </c>
      <c r="AZ51" s="207">
        <f t="shared" si="71"/>
        <v>0</v>
      </c>
    </row>
    <row r="52" spans="1:52" x14ac:dyDescent="0.25">
      <c r="A52" s="197" t="s">
        <v>178</v>
      </c>
      <c r="AY52" s="199">
        <v>391668.85891000001</v>
      </c>
      <c r="AZ52" s="207">
        <f t="shared" si="71"/>
        <v>0</v>
      </c>
    </row>
    <row r="53" spans="1:52" x14ac:dyDescent="0.25">
      <c r="A53" s="197" t="s">
        <v>179</v>
      </c>
      <c r="AY53" s="199">
        <v>568753.44666999998</v>
      </c>
      <c r="AZ53" s="373">
        <f t="shared" si="71"/>
        <v>10.821800000034273</v>
      </c>
    </row>
    <row r="54" spans="1:52" x14ac:dyDescent="0.25">
      <c r="A54" s="197" t="s">
        <v>180</v>
      </c>
      <c r="AY54" s="199">
        <v>542642.40255</v>
      </c>
      <c r="AZ54" s="207">
        <f t="shared" si="71"/>
        <v>0</v>
      </c>
    </row>
    <row r="55" spans="1:52" x14ac:dyDescent="0.25">
      <c r="A55" s="197" t="s">
        <v>181</v>
      </c>
      <c r="AY55" s="199">
        <v>211202.52065000002</v>
      </c>
      <c r="AZ55" s="207">
        <f t="shared" si="71"/>
        <v>0</v>
      </c>
    </row>
    <row r="56" spans="1:52" x14ac:dyDescent="0.25">
      <c r="A56" s="197" t="s">
        <v>182</v>
      </c>
      <c r="AY56" s="199">
        <v>2379096.6555599999</v>
      </c>
      <c r="AZ56" s="207">
        <f t="shared" si="71"/>
        <v>0</v>
      </c>
    </row>
    <row r="57" spans="1:52" x14ac:dyDescent="0.25">
      <c r="A57" s="197" t="s">
        <v>183</v>
      </c>
      <c r="AY57" s="199">
        <v>2276627.1944200001</v>
      </c>
      <c r="AZ57" s="207">
        <f t="shared" si="71"/>
        <v>0</v>
      </c>
    </row>
    <row r="58" spans="1:52" x14ac:dyDescent="0.25">
      <c r="A58" s="197" t="s">
        <v>184</v>
      </c>
      <c r="AY58" s="199">
        <v>779879.05651999998</v>
      </c>
      <c r="AZ58" s="207">
        <f t="shared" si="71"/>
        <v>0</v>
      </c>
    </row>
    <row r="59" spans="1:52" x14ac:dyDescent="0.25">
      <c r="A59" s="197" t="s">
        <v>185</v>
      </c>
      <c r="AY59" s="199">
        <v>341181.23604000005</v>
      </c>
      <c r="AZ59" s="207">
        <f t="shared" si="71"/>
        <v>0</v>
      </c>
    </row>
    <row r="60" spans="1:52" x14ac:dyDescent="0.25">
      <c r="A60" s="197" t="s">
        <v>186</v>
      </c>
      <c r="AY60" s="199">
        <v>328336.89181</v>
      </c>
      <c r="AZ60" s="207">
        <f t="shared" si="71"/>
        <v>0</v>
      </c>
    </row>
    <row r="61" spans="1:52" x14ac:dyDescent="0.25">
      <c r="A61" s="197" t="s">
        <v>187</v>
      </c>
      <c r="AY61" s="199">
        <v>362363.63994000002</v>
      </c>
      <c r="AZ61" s="207">
        <f t="shared" si="71"/>
        <v>0</v>
      </c>
    </row>
    <row r="62" spans="1:52" x14ac:dyDescent="0.25">
      <c r="A62" s="197" t="s">
        <v>188</v>
      </c>
      <c r="AY62" s="199">
        <v>5087.4226200000003</v>
      </c>
      <c r="AZ62" s="207">
        <f t="shared" si="71"/>
        <v>0</v>
      </c>
    </row>
    <row r="63" spans="1:52" x14ac:dyDescent="0.25">
      <c r="AY63" s="199">
        <f>SUM(AY37:AY62)</f>
        <v>14004559.69901</v>
      </c>
      <c r="AZ63" s="199">
        <f>SUM(AZ37:AZ62)</f>
        <v>1597.5218000001041</v>
      </c>
    </row>
  </sheetData>
  <mergeCells count="78">
    <mergeCell ref="CX4:DG4"/>
    <mergeCell ref="DH4:DJ5"/>
    <mergeCell ref="BM5:BN5"/>
    <mergeCell ref="CK4:CK6"/>
    <mergeCell ref="CM4:CN6"/>
    <mergeCell ref="CO4:CP4"/>
    <mergeCell ref="CA5:CB5"/>
    <mergeCell ref="CS4:CT5"/>
    <mergeCell ref="CX5:DB5"/>
    <mergeCell ref="CV4:CV6"/>
    <mergeCell ref="CW4:CW6"/>
    <mergeCell ref="CU4:CU6"/>
    <mergeCell ref="CR5:CR6"/>
    <mergeCell ref="A4:A6"/>
    <mergeCell ref="B4:K4"/>
    <mergeCell ref="L4:S4"/>
    <mergeCell ref="T4:AC4"/>
    <mergeCell ref="AD4:AF4"/>
    <mergeCell ref="AF5:AF6"/>
    <mergeCell ref="B5:F5"/>
    <mergeCell ref="G5:K5"/>
    <mergeCell ref="L5:O5"/>
    <mergeCell ref="P5:S5"/>
    <mergeCell ref="T5:X5"/>
    <mergeCell ref="AG4:AJ4"/>
    <mergeCell ref="AG5:AG6"/>
    <mergeCell ref="AH5:AH6"/>
    <mergeCell ref="AI5:AI6"/>
    <mergeCell ref="AJ5:AJ6"/>
    <mergeCell ref="BH5:BL5"/>
    <mergeCell ref="CC5:CC6"/>
    <mergeCell ref="CF5:CG5"/>
    <mergeCell ref="CH5:CI5"/>
    <mergeCell ref="CF4:CJ4"/>
    <mergeCell ref="BY5:BZ5"/>
    <mergeCell ref="CD5:CD6"/>
    <mergeCell ref="BW4:CE4"/>
    <mergeCell ref="CE5:CE6"/>
    <mergeCell ref="BA5:BA6"/>
    <mergeCell ref="BB5:BB6"/>
    <mergeCell ref="BC5:BG5"/>
    <mergeCell ref="BM4:BQ4"/>
    <mergeCell ref="Y5:AC5"/>
    <mergeCell ref="AD5:AD6"/>
    <mergeCell ref="AE5:AE6"/>
    <mergeCell ref="AL5:AL6"/>
    <mergeCell ref="AM5:AM6"/>
    <mergeCell ref="AN5:AS5"/>
    <mergeCell ref="AT5:AY5"/>
    <mergeCell ref="AZ5:AZ6"/>
    <mergeCell ref="AK4:AM4"/>
    <mergeCell ref="AN4:AY4"/>
    <mergeCell ref="AZ4:BB4"/>
    <mergeCell ref="BC4:BL4"/>
    <mergeCell ref="AK5:AK6"/>
    <mergeCell ref="DK5:DL5"/>
    <mergeCell ref="DM5:DN5"/>
    <mergeCell ref="DK4:DN4"/>
    <mergeCell ref="DC5:DG5"/>
    <mergeCell ref="BO5:BP5"/>
    <mergeCell ref="BQ5:BQ6"/>
    <mergeCell ref="BR5:BS5"/>
    <mergeCell ref="BT5:BU5"/>
    <mergeCell ref="BV5:BV6"/>
    <mergeCell ref="BW5:BX5"/>
    <mergeCell ref="CQ4:CQ6"/>
    <mergeCell ref="BR4:BV4"/>
    <mergeCell ref="CJ5:CJ6"/>
    <mergeCell ref="CL5:CL6"/>
    <mergeCell ref="CO5:CP6"/>
    <mergeCell ref="DX5:DY5"/>
    <mergeCell ref="DT4:DY4"/>
    <mergeCell ref="DO5:DP5"/>
    <mergeCell ref="DQ5:DR5"/>
    <mergeCell ref="DO4:DS4"/>
    <mergeCell ref="DS5:DS6"/>
    <mergeCell ref="DT5:DU5"/>
    <mergeCell ref="DV5:DW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workbookViewId="0">
      <selection activeCell="BT12" sqref="BT12"/>
    </sheetView>
  </sheetViews>
  <sheetFormatPr defaultColWidth="9.109375" defaultRowHeight="13.2" x14ac:dyDescent="0.25"/>
  <cols>
    <col min="1" max="1" width="21" style="213" bestFit="1" customWidth="1"/>
    <col min="2" max="3" width="15" style="220" hidden="1" customWidth="1"/>
    <col min="4" max="4" width="15" style="220" customWidth="1"/>
    <col min="5" max="6" width="9.109375" style="220" hidden="1" customWidth="1"/>
    <col min="7" max="7" width="11.44140625" style="220" bestFit="1" customWidth="1"/>
    <col min="8" max="9" width="9.109375" style="220" hidden="1" customWidth="1"/>
    <col min="10" max="10" width="12.44140625" style="220" bestFit="1" customWidth="1"/>
    <col min="11" max="12" width="9.109375" style="220" hidden="1" customWidth="1"/>
    <col min="13" max="13" width="11.44140625" style="220" bestFit="1" customWidth="1"/>
    <col min="14" max="14" width="10" style="220" hidden="1" customWidth="1"/>
    <col min="15" max="15" width="9.109375" style="220" hidden="1" customWidth="1"/>
    <col min="16" max="16" width="11.109375" style="220" customWidth="1"/>
    <col min="17" max="18" width="9.109375" style="220" hidden="1" customWidth="1"/>
    <col min="19" max="19" width="13.6640625" style="220" customWidth="1"/>
    <col min="20" max="21" width="9.109375" style="220" hidden="1" customWidth="1"/>
    <col min="22" max="22" width="11.44140625" style="220" bestFit="1" customWidth="1"/>
    <col min="23" max="24" width="9.109375" style="220" hidden="1" customWidth="1"/>
    <col min="25" max="25" width="12.44140625" style="220" bestFit="1" customWidth="1"/>
    <col min="26" max="27" width="9.109375" style="220" hidden="1" customWidth="1"/>
    <col min="28" max="28" width="11.33203125" style="220" bestFit="1" customWidth="1"/>
    <col min="29" max="30" width="9.109375" style="220" hidden="1" customWidth="1"/>
    <col min="31" max="31" width="9.5546875" style="220" bestFit="1" customWidth="1"/>
    <col min="32" max="16384" width="9.109375" style="220"/>
  </cols>
  <sheetData>
    <row r="1" spans="1:31" s="213" customFormat="1" ht="38.25" customHeight="1" x14ac:dyDescent="0.25">
      <c r="A1" s="530" t="s">
        <v>416</v>
      </c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0"/>
      <c r="AA1" s="530"/>
      <c r="AB1" s="530"/>
      <c r="AC1" s="530"/>
      <c r="AD1" s="530"/>
      <c r="AE1" s="530"/>
    </row>
    <row r="2" spans="1:31" s="213" customFormat="1" x14ac:dyDescent="0.25"/>
    <row r="3" spans="1:31" s="213" customFormat="1" ht="13.8" thickBot="1" x14ac:dyDescent="0.3"/>
    <row r="4" spans="1:31" s="192" customFormat="1" ht="13.5" customHeight="1" thickTop="1" x14ac:dyDescent="0.25">
      <c r="A4" s="520" t="s">
        <v>0</v>
      </c>
      <c r="B4" s="531" t="s">
        <v>198</v>
      </c>
      <c r="C4" s="531"/>
      <c r="D4" s="475" t="s">
        <v>386</v>
      </c>
      <c r="E4" s="475" t="s">
        <v>143</v>
      </c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531" t="s">
        <v>198</v>
      </c>
      <c r="R4" s="531"/>
      <c r="S4" s="475" t="s">
        <v>411</v>
      </c>
      <c r="T4" s="475" t="s">
        <v>143</v>
      </c>
      <c r="U4" s="475"/>
      <c r="V4" s="475"/>
      <c r="W4" s="475"/>
      <c r="X4" s="475"/>
      <c r="Y4" s="475"/>
      <c r="Z4" s="475"/>
      <c r="AA4" s="475"/>
      <c r="AB4" s="475"/>
      <c r="AC4" s="475"/>
      <c r="AD4" s="475"/>
      <c r="AE4" s="476"/>
    </row>
    <row r="5" spans="1:31" s="192" customFormat="1" ht="55.5" customHeight="1" x14ac:dyDescent="0.25">
      <c r="A5" s="521"/>
      <c r="B5" s="532"/>
      <c r="C5" s="532"/>
      <c r="D5" s="477"/>
      <c r="E5" s="477" t="s">
        <v>220</v>
      </c>
      <c r="F5" s="477"/>
      <c r="G5" s="477"/>
      <c r="H5" s="477" t="s">
        <v>221</v>
      </c>
      <c r="I5" s="477"/>
      <c r="J5" s="477"/>
      <c r="K5" s="477" t="s">
        <v>222</v>
      </c>
      <c r="L5" s="477"/>
      <c r="M5" s="477"/>
      <c r="N5" s="477" t="s">
        <v>223</v>
      </c>
      <c r="O5" s="477"/>
      <c r="P5" s="477"/>
      <c r="Q5" s="532"/>
      <c r="R5" s="532"/>
      <c r="S5" s="477"/>
      <c r="T5" s="477" t="s">
        <v>412</v>
      </c>
      <c r="U5" s="477"/>
      <c r="V5" s="477"/>
      <c r="W5" s="477" t="s">
        <v>413</v>
      </c>
      <c r="X5" s="477"/>
      <c r="Y5" s="477"/>
      <c r="Z5" s="477" t="s">
        <v>414</v>
      </c>
      <c r="AA5" s="477"/>
      <c r="AB5" s="477"/>
      <c r="AC5" s="477" t="s">
        <v>415</v>
      </c>
      <c r="AD5" s="477"/>
      <c r="AE5" s="478"/>
    </row>
    <row r="6" spans="1:31" s="192" customFormat="1" ht="12.75" customHeight="1" x14ac:dyDescent="0.25">
      <c r="A6" s="521"/>
      <c r="B6" s="323" t="s">
        <v>155</v>
      </c>
      <c r="C6" s="323" t="s">
        <v>156</v>
      </c>
      <c r="D6" s="477"/>
      <c r="E6" s="354" t="s">
        <v>155</v>
      </c>
      <c r="F6" s="354" t="s">
        <v>156</v>
      </c>
      <c r="G6" s="355"/>
      <c r="H6" s="354" t="s">
        <v>155</v>
      </c>
      <c r="I6" s="354" t="s">
        <v>156</v>
      </c>
      <c r="J6" s="355"/>
      <c r="K6" s="354" t="s">
        <v>155</v>
      </c>
      <c r="L6" s="354" t="s">
        <v>156</v>
      </c>
      <c r="M6" s="355"/>
      <c r="N6" s="354" t="s">
        <v>155</v>
      </c>
      <c r="O6" s="354" t="s">
        <v>156</v>
      </c>
      <c r="P6" s="355"/>
      <c r="Q6" s="323" t="s">
        <v>155</v>
      </c>
      <c r="R6" s="323" t="s">
        <v>156</v>
      </c>
      <c r="S6" s="477"/>
      <c r="T6" s="354" t="s">
        <v>155</v>
      </c>
      <c r="U6" s="354" t="s">
        <v>156</v>
      </c>
      <c r="V6" s="355"/>
      <c r="W6" s="354" t="s">
        <v>155</v>
      </c>
      <c r="X6" s="354" t="s">
        <v>156</v>
      </c>
      <c r="Y6" s="355"/>
      <c r="Z6" s="354" t="s">
        <v>155</v>
      </c>
      <c r="AA6" s="354" t="s">
        <v>156</v>
      </c>
      <c r="AB6" s="355"/>
      <c r="AC6" s="354" t="s">
        <v>155</v>
      </c>
      <c r="AD6" s="354" t="s">
        <v>156</v>
      </c>
      <c r="AE6" s="356"/>
    </row>
    <row r="7" spans="1:31" s="192" customFormat="1" x14ac:dyDescent="0.25">
      <c r="A7" s="115"/>
      <c r="B7" s="357"/>
      <c r="C7" s="357"/>
      <c r="D7" s="358"/>
      <c r="E7" s="357"/>
      <c r="F7" s="357"/>
      <c r="G7" s="358"/>
      <c r="H7" s="357"/>
      <c r="I7" s="357"/>
      <c r="J7" s="358"/>
      <c r="K7" s="357"/>
      <c r="L7" s="357"/>
      <c r="M7" s="358"/>
      <c r="N7" s="357"/>
      <c r="O7" s="357"/>
      <c r="P7" s="358"/>
      <c r="Q7" s="357"/>
      <c r="R7" s="357"/>
      <c r="S7" s="358"/>
      <c r="T7" s="357"/>
      <c r="U7" s="357"/>
      <c r="V7" s="358"/>
      <c r="W7" s="357"/>
      <c r="X7" s="357"/>
      <c r="Y7" s="358"/>
      <c r="Z7" s="357"/>
      <c r="AA7" s="357"/>
      <c r="AB7" s="358"/>
      <c r="AC7" s="357"/>
      <c r="AD7" s="357"/>
      <c r="AE7" s="359"/>
    </row>
    <row r="8" spans="1:31" s="217" customFormat="1" x14ac:dyDescent="0.25">
      <c r="A8" s="130" t="s">
        <v>163</v>
      </c>
      <c r="B8" s="245">
        <v>0</v>
      </c>
      <c r="C8" s="245">
        <v>752079233.15999997</v>
      </c>
      <c r="D8" s="33">
        <f>(B8+C8)/1000</f>
        <v>752079.23315999995</v>
      </c>
      <c r="E8" s="245">
        <v>0</v>
      </c>
      <c r="F8" s="245">
        <v>248145326.91</v>
      </c>
      <c r="G8" s="33">
        <f>(E8+F8)/1000</f>
        <v>248145.32691</v>
      </c>
      <c r="H8" s="245">
        <v>0</v>
      </c>
      <c r="I8" s="245">
        <v>427466955.68000001</v>
      </c>
      <c r="J8" s="33">
        <f>(H8+I8)/1000</f>
        <v>427466.95568000001</v>
      </c>
      <c r="K8" s="245">
        <v>0</v>
      </c>
      <c r="L8" s="245">
        <v>71186800</v>
      </c>
      <c r="M8" s="33">
        <f>(K8+L8)/1000</f>
        <v>71186.8</v>
      </c>
      <c r="N8" s="245">
        <v>0</v>
      </c>
      <c r="O8" s="245">
        <v>5280150.57</v>
      </c>
      <c r="P8" s="33">
        <f>(N8+O8)/1000</f>
        <v>5280.1505700000007</v>
      </c>
      <c r="Q8" s="245">
        <v>0</v>
      </c>
      <c r="R8" s="245">
        <v>639468443.88</v>
      </c>
      <c r="S8" s="33">
        <f>(Q8+R8)/1000</f>
        <v>639468.44388000004</v>
      </c>
      <c r="T8" s="245">
        <v>0</v>
      </c>
      <c r="U8" s="245">
        <v>115174092.06999999</v>
      </c>
      <c r="V8" s="33">
        <f>(T8+U8)/1000</f>
        <v>115174.09207</v>
      </c>
      <c r="W8" s="245">
        <v>0</v>
      </c>
      <c r="X8" s="245">
        <v>451191043.81999999</v>
      </c>
      <c r="Y8" s="33">
        <f>(W8+X8)/1000</f>
        <v>451191.04382000002</v>
      </c>
      <c r="Z8" s="245">
        <v>0</v>
      </c>
      <c r="AA8" s="245">
        <v>71709100</v>
      </c>
      <c r="AB8" s="33">
        <f>(Z8+AA8)/1000</f>
        <v>71709.100000000006</v>
      </c>
      <c r="AC8" s="245">
        <v>0</v>
      </c>
      <c r="AD8" s="245">
        <v>1394207.99</v>
      </c>
      <c r="AE8" s="46">
        <f>(AC8+AD8)/1000</f>
        <v>1394.2079899999999</v>
      </c>
    </row>
    <row r="9" spans="1:31" s="217" customFormat="1" x14ac:dyDescent="0.25">
      <c r="A9" s="130" t="s">
        <v>164</v>
      </c>
      <c r="B9" s="245">
        <v>0</v>
      </c>
      <c r="C9" s="245">
        <v>371594562.80000001</v>
      </c>
      <c r="D9" s="33">
        <f t="shared" ref="D9:D33" si="0">(B9+C9)/1000</f>
        <v>371594.56280000001</v>
      </c>
      <c r="E9" s="245">
        <v>0</v>
      </c>
      <c r="F9" s="245">
        <v>144277426.59</v>
      </c>
      <c r="G9" s="33">
        <f t="shared" ref="G9:G33" si="1">(E9+F9)/1000</f>
        <v>144277.42659000002</v>
      </c>
      <c r="H9" s="245">
        <v>0</v>
      </c>
      <c r="I9" s="245">
        <v>191440395.21000001</v>
      </c>
      <c r="J9" s="33">
        <f t="shared" ref="J9:J33" si="2">(H9+I9)/1000</f>
        <v>191440.39521000002</v>
      </c>
      <c r="K9" s="245">
        <v>0</v>
      </c>
      <c r="L9" s="245">
        <v>35542300</v>
      </c>
      <c r="M9" s="33">
        <f t="shared" ref="M9:M33" si="3">(K9+L9)/1000</f>
        <v>35542.300000000003</v>
      </c>
      <c r="N9" s="245">
        <v>0</v>
      </c>
      <c r="O9" s="245">
        <v>334441</v>
      </c>
      <c r="P9" s="33">
        <f t="shared" ref="P9:P33" si="4">(N9+O9)/1000</f>
        <v>334.44099999999997</v>
      </c>
      <c r="Q9" s="245">
        <v>0</v>
      </c>
      <c r="R9" s="245">
        <v>383957507.37</v>
      </c>
      <c r="S9" s="33">
        <f t="shared" ref="S9:S33" si="5">(Q9+R9)/1000</f>
        <v>383957.50737000001</v>
      </c>
      <c r="T9" s="245">
        <v>0</v>
      </c>
      <c r="U9" s="245">
        <v>157602837.84999999</v>
      </c>
      <c r="V9" s="33">
        <f t="shared" ref="V9:V33" si="6">(T9+U9)/1000</f>
        <v>157602.83784999998</v>
      </c>
      <c r="W9" s="245">
        <v>0</v>
      </c>
      <c r="X9" s="245">
        <v>187723367.52000001</v>
      </c>
      <c r="Y9" s="33">
        <f t="shared" ref="Y9:Y33" si="7">(W9+X9)/1000</f>
        <v>187723.36752</v>
      </c>
      <c r="Z9" s="245">
        <v>0</v>
      </c>
      <c r="AA9" s="245">
        <v>34314600</v>
      </c>
      <c r="AB9" s="33">
        <f t="shared" ref="AB9:AB33" si="8">(Z9+AA9)/1000</f>
        <v>34314.6</v>
      </c>
      <c r="AC9" s="245">
        <v>0</v>
      </c>
      <c r="AD9" s="245">
        <v>4316702</v>
      </c>
      <c r="AE9" s="46">
        <f t="shared" ref="AE9:AE33" si="9">(AC9+AD9)/1000</f>
        <v>4316.7020000000002</v>
      </c>
    </row>
    <row r="10" spans="1:31" s="217" customFormat="1" x14ac:dyDescent="0.25">
      <c r="A10" s="130" t="s">
        <v>165</v>
      </c>
      <c r="B10" s="245">
        <v>0</v>
      </c>
      <c r="C10" s="245">
        <v>246372768.5</v>
      </c>
      <c r="D10" s="33">
        <f t="shared" si="0"/>
        <v>246372.76850000001</v>
      </c>
      <c r="E10" s="245">
        <v>0</v>
      </c>
      <c r="F10" s="245">
        <v>91829079.230000004</v>
      </c>
      <c r="G10" s="33">
        <f t="shared" si="1"/>
        <v>91829.079230000003</v>
      </c>
      <c r="H10" s="245">
        <v>0</v>
      </c>
      <c r="I10" s="245">
        <v>130254313.27</v>
      </c>
      <c r="J10" s="33">
        <f t="shared" si="2"/>
        <v>130254.31327</v>
      </c>
      <c r="K10" s="245">
        <v>0</v>
      </c>
      <c r="L10" s="245">
        <v>22818400</v>
      </c>
      <c r="M10" s="33">
        <f t="shared" si="3"/>
        <v>22818.400000000001</v>
      </c>
      <c r="N10" s="245">
        <v>0</v>
      </c>
      <c r="O10" s="245">
        <v>1470976</v>
      </c>
      <c r="P10" s="33">
        <f t="shared" si="4"/>
        <v>1470.9760000000001</v>
      </c>
      <c r="Q10" s="245">
        <v>0</v>
      </c>
      <c r="R10" s="245">
        <v>246198781.96000001</v>
      </c>
      <c r="S10" s="33">
        <f t="shared" si="5"/>
        <v>246198.78196000002</v>
      </c>
      <c r="T10" s="245">
        <v>0</v>
      </c>
      <c r="U10" s="245">
        <v>87979109</v>
      </c>
      <c r="V10" s="33">
        <f t="shared" si="6"/>
        <v>87979.108999999997</v>
      </c>
      <c r="W10" s="245">
        <v>0</v>
      </c>
      <c r="X10" s="245">
        <v>137470372.96000001</v>
      </c>
      <c r="Y10" s="33">
        <f t="shared" si="7"/>
        <v>137470.37296000001</v>
      </c>
      <c r="Z10" s="245">
        <v>0</v>
      </c>
      <c r="AA10" s="245">
        <v>20742400</v>
      </c>
      <c r="AB10" s="33">
        <f t="shared" si="8"/>
        <v>20742.400000000001</v>
      </c>
      <c r="AC10" s="245">
        <v>0</v>
      </c>
      <c r="AD10" s="245">
        <v>6900</v>
      </c>
      <c r="AE10" s="46">
        <f t="shared" si="9"/>
        <v>6.9</v>
      </c>
    </row>
    <row r="11" spans="1:31" s="217" customFormat="1" x14ac:dyDescent="0.25">
      <c r="A11" s="130" t="s">
        <v>166</v>
      </c>
      <c r="B11" s="245">
        <v>0</v>
      </c>
      <c r="C11" s="245">
        <v>378457196.62</v>
      </c>
      <c r="D11" s="33">
        <f t="shared" si="0"/>
        <v>378457.19662</v>
      </c>
      <c r="E11" s="245">
        <v>0</v>
      </c>
      <c r="F11" s="245">
        <v>134588999.38999999</v>
      </c>
      <c r="G11" s="33">
        <f t="shared" si="1"/>
        <v>134588.99938999998</v>
      </c>
      <c r="H11" s="245">
        <v>0</v>
      </c>
      <c r="I11" s="245">
        <v>200842455.22999999</v>
      </c>
      <c r="J11" s="33">
        <f t="shared" si="2"/>
        <v>200842.45522999999</v>
      </c>
      <c r="K11" s="245">
        <v>0</v>
      </c>
      <c r="L11" s="245">
        <v>40811900</v>
      </c>
      <c r="M11" s="33">
        <f t="shared" si="3"/>
        <v>40811.9</v>
      </c>
      <c r="N11" s="245">
        <v>0</v>
      </c>
      <c r="O11" s="245">
        <v>2213842</v>
      </c>
      <c r="P11" s="33">
        <f t="shared" si="4"/>
        <v>2213.8420000000001</v>
      </c>
      <c r="Q11" s="245">
        <v>0</v>
      </c>
      <c r="R11" s="245">
        <v>327592202.22000003</v>
      </c>
      <c r="S11" s="33">
        <f t="shared" si="5"/>
        <v>327592.20222000004</v>
      </c>
      <c r="T11" s="245">
        <v>0</v>
      </c>
      <c r="U11" s="245">
        <v>80206474.549999997</v>
      </c>
      <c r="V11" s="33">
        <f t="shared" si="6"/>
        <v>80206.474549999999</v>
      </c>
      <c r="W11" s="245">
        <v>0</v>
      </c>
      <c r="X11" s="245">
        <v>198299165.66999999</v>
      </c>
      <c r="Y11" s="33">
        <f t="shared" si="7"/>
        <v>198299.16566999999</v>
      </c>
      <c r="Z11" s="245">
        <v>0</v>
      </c>
      <c r="AA11" s="245">
        <v>49073400</v>
      </c>
      <c r="AB11" s="33">
        <f t="shared" si="8"/>
        <v>49073.4</v>
      </c>
      <c r="AC11" s="245">
        <v>0</v>
      </c>
      <c r="AD11" s="245">
        <v>13162</v>
      </c>
      <c r="AE11" s="46">
        <f t="shared" si="9"/>
        <v>13.162000000000001</v>
      </c>
    </row>
    <row r="12" spans="1:31" s="217" customFormat="1" x14ac:dyDescent="0.25">
      <c r="A12" s="130" t="s">
        <v>167</v>
      </c>
      <c r="B12" s="245">
        <v>0</v>
      </c>
      <c r="C12" s="245">
        <v>349559014.02999997</v>
      </c>
      <c r="D12" s="33">
        <f t="shared" si="0"/>
        <v>349559.01402999996</v>
      </c>
      <c r="E12" s="245">
        <v>0</v>
      </c>
      <c r="F12" s="245">
        <v>128029768.77</v>
      </c>
      <c r="G12" s="33">
        <f t="shared" si="1"/>
        <v>128029.76877</v>
      </c>
      <c r="H12" s="245">
        <v>0</v>
      </c>
      <c r="I12" s="245">
        <v>171694887.25999999</v>
      </c>
      <c r="J12" s="33">
        <f t="shared" si="2"/>
        <v>171694.88725999999</v>
      </c>
      <c r="K12" s="245">
        <v>0</v>
      </c>
      <c r="L12" s="245">
        <v>44001200</v>
      </c>
      <c r="M12" s="33">
        <f t="shared" si="3"/>
        <v>44001.2</v>
      </c>
      <c r="N12" s="245">
        <v>0</v>
      </c>
      <c r="O12" s="245">
        <v>5833158</v>
      </c>
      <c r="P12" s="33">
        <f t="shared" si="4"/>
        <v>5833.1580000000004</v>
      </c>
      <c r="Q12" s="245">
        <v>0</v>
      </c>
      <c r="R12" s="245">
        <v>303353080.94</v>
      </c>
      <c r="S12" s="33">
        <f t="shared" si="5"/>
        <v>303353.08094000001</v>
      </c>
      <c r="T12" s="245">
        <v>0</v>
      </c>
      <c r="U12" s="245">
        <v>84309859.530000001</v>
      </c>
      <c r="V12" s="33">
        <f t="shared" si="6"/>
        <v>84309.859530000002</v>
      </c>
      <c r="W12" s="245">
        <v>0</v>
      </c>
      <c r="X12" s="245">
        <v>171152571.41</v>
      </c>
      <c r="Y12" s="33">
        <f t="shared" si="7"/>
        <v>171152.57141</v>
      </c>
      <c r="Z12" s="245">
        <v>0</v>
      </c>
      <c r="AA12" s="245">
        <v>47792900</v>
      </c>
      <c r="AB12" s="33">
        <f t="shared" si="8"/>
        <v>47792.9</v>
      </c>
      <c r="AC12" s="245">
        <v>0</v>
      </c>
      <c r="AD12" s="245">
        <v>97750</v>
      </c>
      <c r="AE12" s="46">
        <f t="shared" si="9"/>
        <v>97.75</v>
      </c>
    </row>
    <row r="13" spans="1:31" s="217" customFormat="1" x14ac:dyDescent="0.25">
      <c r="A13" s="130" t="s">
        <v>168</v>
      </c>
      <c r="B13" s="245">
        <v>0</v>
      </c>
      <c r="C13" s="245">
        <v>525477034.94999999</v>
      </c>
      <c r="D13" s="33">
        <f t="shared" si="0"/>
        <v>525477.03495</v>
      </c>
      <c r="E13" s="245">
        <v>0</v>
      </c>
      <c r="F13" s="245">
        <v>257360569.91</v>
      </c>
      <c r="G13" s="33">
        <f t="shared" si="1"/>
        <v>257360.56990999999</v>
      </c>
      <c r="H13" s="245">
        <v>0</v>
      </c>
      <c r="I13" s="245">
        <v>211944415.03999999</v>
      </c>
      <c r="J13" s="33">
        <f t="shared" si="2"/>
        <v>211944.41503999999</v>
      </c>
      <c r="K13" s="245">
        <v>0</v>
      </c>
      <c r="L13" s="245">
        <v>53141400</v>
      </c>
      <c r="M13" s="33">
        <f t="shared" si="3"/>
        <v>53141.4</v>
      </c>
      <c r="N13" s="245">
        <v>0</v>
      </c>
      <c r="O13" s="245">
        <v>3030650</v>
      </c>
      <c r="P13" s="33">
        <f t="shared" si="4"/>
        <v>3030.65</v>
      </c>
      <c r="Q13" s="245">
        <v>0</v>
      </c>
      <c r="R13" s="245">
        <v>485232356.13</v>
      </c>
      <c r="S13" s="33">
        <f t="shared" si="5"/>
        <v>485232.35612999997</v>
      </c>
      <c r="T13" s="245">
        <v>0</v>
      </c>
      <c r="U13" s="245">
        <v>189835185.66999999</v>
      </c>
      <c r="V13" s="33">
        <f t="shared" si="6"/>
        <v>189835.18566999998</v>
      </c>
      <c r="W13" s="245">
        <v>0</v>
      </c>
      <c r="X13" s="245">
        <v>226784991.46000001</v>
      </c>
      <c r="Y13" s="33">
        <f t="shared" si="7"/>
        <v>226784.99146000002</v>
      </c>
      <c r="Z13" s="245">
        <v>0</v>
      </c>
      <c r="AA13" s="245">
        <v>64272600</v>
      </c>
      <c r="AB13" s="33">
        <f t="shared" si="8"/>
        <v>64272.6</v>
      </c>
      <c r="AC13" s="245">
        <v>0</v>
      </c>
      <c r="AD13" s="245">
        <v>4339579</v>
      </c>
      <c r="AE13" s="46">
        <f t="shared" si="9"/>
        <v>4339.5789999999997</v>
      </c>
    </row>
    <row r="14" spans="1:31" s="217" customFormat="1" x14ac:dyDescent="0.25">
      <c r="A14" s="130" t="s">
        <v>169</v>
      </c>
      <c r="B14" s="245">
        <v>0</v>
      </c>
      <c r="C14" s="245">
        <v>294869182.35000002</v>
      </c>
      <c r="D14" s="33">
        <f t="shared" si="0"/>
        <v>294869.18235000002</v>
      </c>
      <c r="E14" s="245">
        <v>0</v>
      </c>
      <c r="F14" s="245">
        <v>86004598.310000002</v>
      </c>
      <c r="G14" s="33">
        <f t="shared" si="1"/>
        <v>86004.598310000001</v>
      </c>
      <c r="H14" s="245">
        <v>0</v>
      </c>
      <c r="I14" s="245">
        <v>164728337.03999999</v>
      </c>
      <c r="J14" s="33">
        <f t="shared" si="2"/>
        <v>164728.33703999998</v>
      </c>
      <c r="K14" s="245">
        <v>0</v>
      </c>
      <c r="L14" s="245">
        <v>41062000</v>
      </c>
      <c r="M14" s="33">
        <f t="shared" si="3"/>
        <v>41062</v>
      </c>
      <c r="N14" s="245">
        <v>0</v>
      </c>
      <c r="O14" s="245">
        <v>3074247</v>
      </c>
      <c r="P14" s="33">
        <f t="shared" si="4"/>
        <v>3074.2469999999998</v>
      </c>
      <c r="Q14" s="245">
        <v>0</v>
      </c>
      <c r="R14" s="245">
        <v>271512277.13</v>
      </c>
      <c r="S14" s="33">
        <f t="shared" si="5"/>
        <v>271512.27713</v>
      </c>
      <c r="T14" s="245">
        <v>0</v>
      </c>
      <c r="U14" s="245">
        <v>73486084.25</v>
      </c>
      <c r="V14" s="33">
        <f t="shared" si="6"/>
        <v>73486.08425</v>
      </c>
      <c r="W14" s="245">
        <v>0</v>
      </c>
      <c r="X14" s="245">
        <v>164905092.88</v>
      </c>
      <c r="Y14" s="33">
        <f t="shared" si="7"/>
        <v>164905.09287999998</v>
      </c>
      <c r="Z14" s="245">
        <v>0</v>
      </c>
      <c r="AA14" s="245">
        <v>32621100</v>
      </c>
      <c r="AB14" s="33">
        <f t="shared" si="8"/>
        <v>32621.1</v>
      </c>
      <c r="AC14" s="245">
        <v>0</v>
      </c>
      <c r="AD14" s="245">
        <v>500000</v>
      </c>
      <c r="AE14" s="46">
        <f t="shared" si="9"/>
        <v>500</v>
      </c>
    </row>
    <row r="15" spans="1:31" s="217" customFormat="1" x14ac:dyDescent="0.25">
      <c r="A15" s="130" t="s">
        <v>170</v>
      </c>
      <c r="B15" s="245">
        <v>0</v>
      </c>
      <c r="C15" s="245">
        <v>321480226.42000002</v>
      </c>
      <c r="D15" s="33">
        <f t="shared" si="0"/>
        <v>321480.22642000002</v>
      </c>
      <c r="E15" s="245">
        <v>0</v>
      </c>
      <c r="F15" s="245">
        <v>144106314.96000001</v>
      </c>
      <c r="G15" s="33">
        <f t="shared" si="1"/>
        <v>144106.31496000002</v>
      </c>
      <c r="H15" s="245">
        <v>0</v>
      </c>
      <c r="I15" s="245">
        <v>151078040.46000001</v>
      </c>
      <c r="J15" s="33">
        <f t="shared" si="2"/>
        <v>151078.04046000002</v>
      </c>
      <c r="K15" s="245">
        <v>0</v>
      </c>
      <c r="L15" s="245">
        <v>21860500</v>
      </c>
      <c r="M15" s="33">
        <f t="shared" si="3"/>
        <v>21860.5</v>
      </c>
      <c r="N15" s="245">
        <v>0</v>
      </c>
      <c r="O15" s="245">
        <v>4435371</v>
      </c>
      <c r="P15" s="33">
        <f t="shared" si="4"/>
        <v>4435.3710000000001</v>
      </c>
      <c r="Q15" s="245">
        <v>0</v>
      </c>
      <c r="R15" s="245">
        <v>439460190.64999998</v>
      </c>
      <c r="S15" s="33">
        <f t="shared" si="5"/>
        <v>439460.19065</v>
      </c>
      <c r="T15" s="245">
        <v>0</v>
      </c>
      <c r="U15" s="245">
        <v>259451057.88</v>
      </c>
      <c r="V15" s="33">
        <f t="shared" si="6"/>
        <v>259451.05788000001</v>
      </c>
      <c r="W15" s="245">
        <v>0</v>
      </c>
      <c r="X15" s="245">
        <v>153244162.97</v>
      </c>
      <c r="Y15" s="33">
        <f t="shared" si="7"/>
        <v>153244.16297</v>
      </c>
      <c r="Z15" s="245">
        <v>0</v>
      </c>
      <c r="AA15" s="245">
        <v>25230800</v>
      </c>
      <c r="AB15" s="33">
        <f t="shared" si="8"/>
        <v>25230.799999999999</v>
      </c>
      <c r="AC15" s="245">
        <v>0</v>
      </c>
      <c r="AD15" s="245">
        <v>1534169.8</v>
      </c>
      <c r="AE15" s="46">
        <f t="shared" si="9"/>
        <v>1534.1698000000001</v>
      </c>
    </row>
    <row r="16" spans="1:31" s="217" customFormat="1" x14ac:dyDescent="0.25">
      <c r="A16" s="130" t="s">
        <v>171</v>
      </c>
      <c r="B16" s="245">
        <v>0</v>
      </c>
      <c r="C16" s="245">
        <v>276349933.19</v>
      </c>
      <c r="D16" s="33">
        <f t="shared" si="0"/>
        <v>276349.93319000001</v>
      </c>
      <c r="E16" s="245">
        <v>0</v>
      </c>
      <c r="F16" s="245">
        <v>98395464.659999996</v>
      </c>
      <c r="G16" s="33">
        <f t="shared" si="1"/>
        <v>98395.464659999998</v>
      </c>
      <c r="H16" s="245">
        <v>0</v>
      </c>
      <c r="I16" s="245">
        <v>173722664.53</v>
      </c>
      <c r="J16" s="33">
        <f t="shared" si="2"/>
        <v>173722.66453000001</v>
      </c>
      <c r="K16" s="245">
        <v>0</v>
      </c>
      <c r="L16" s="245">
        <v>1831700</v>
      </c>
      <c r="M16" s="33">
        <f t="shared" si="3"/>
        <v>1831.7</v>
      </c>
      <c r="N16" s="245">
        <v>0</v>
      </c>
      <c r="O16" s="245">
        <v>2400104</v>
      </c>
      <c r="P16" s="33">
        <f t="shared" si="4"/>
        <v>2400.1039999999998</v>
      </c>
      <c r="Q16" s="245">
        <v>0</v>
      </c>
      <c r="R16" s="245">
        <v>291324690.26999998</v>
      </c>
      <c r="S16" s="33">
        <f t="shared" si="5"/>
        <v>291324.69026999996</v>
      </c>
      <c r="T16" s="245">
        <v>0</v>
      </c>
      <c r="U16" s="245">
        <v>106037491.72</v>
      </c>
      <c r="V16" s="33">
        <f t="shared" si="6"/>
        <v>106037.49172000001</v>
      </c>
      <c r="W16" s="245">
        <v>0</v>
      </c>
      <c r="X16" s="245">
        <v>182860948.55000001</v>
      </c>
      <c r="Y16" s="33">
        <f t="shared" si="7"/>
        <v>182860.94855</v>
      </c>
      <c r="Z16" s="245">
        <v>0</v>
      </c>
      <c r="AA16" s="245">
        <v>2406800</v>
      </c>
      <c r="AB16" s="33">
        <f t="shared" si="8"/>
        <v>2406.8000000000002</v>
      </c>
      <c r="AC16" s="245">
        <v>0</v>
      </c>
      <c r="AD16" s="245">
        <v>19450</v>
      </c>
      <c r="AE16" s="46">
        <f t="shared" si="9"/>
        <v>19.45</v>
      </c>
    </row>
    <row r="17" spans="1:31" s="217" customFormat="1" x14ac:dyDescent="0.25">
      <c r="A17" s="130" t="s">
        <v>172</v>
      </c>
      <c r="B17" s="245">
        <v>0</v>
      </c>
      <c r="C17" s="245">
        <v>227929827.09</v>
      </c>
      <c r="D17" s="33">
        <f t="shared" si="0"/>
        <v>227929.82709000001</v>
      </c>
      <c r="E17" s="245">
        <v>0</v>
      </c>
      <c r="F17" s="245">
        <v>78347940</v>
      </c>
      <c r="G17" s="33">
        <f t="shared" si="1"/>
        <v>78347.94</v>
      </c>
      <c r="H17" s="245">
        <v>0</v>
      </c>
      <c r="I17" s="245">
        <v>115647525.09</v>
      </c>
      <c r="J17" s="33">
        <f t="shared" si="2"/>
        <v>115647.52509000001</v>
      </c>
      <c r="K17" s="245">
        <v>0</v>
      </c>
      <c r="L17" s="245">
        <v>33198000</v>
      </c>
      <c r="M17" s="33">
        <f t="shared" si="3"/>
        <v>33198</v>
      </c>
      <c r="N17" s="245">
        <v>0</v>
      </c>
      <c r="O17" s="245">
        <v>736362</v>
      </c>
      <c r="P17" s="33">
        <f t="shared" si="4"/>
        <v>736.36199999999997</v>
      </c>
      <c r="Q17" s="245">
        <v>0</v>
      </c>
      <c r="R17" s="245">
        <v>236547911.72</v>
      </c>
      <c r="S17" s="33">
        <f t="shared" si="5"/>
        <v>236547.91172</v>
      </c>
      <c r="T17" s="245">
        <v>0</v>
      </c>
      <c r="U17" s="245">
        <v>81794494.609999999</v>
      </c>
      <c r="V17" s="33">
        <f t="shared" si="6"/>
        <v>81794.494609999994</v>
      </c>
      <c r="W17" s="245">
        <v>0</v>
      </c>
      <c r="X17" s="245">
        <v>114273191.28</v>
      </c>
      <c r="Y17" s="33">
        <f t="shared" si="7"/>
        <v>114273.19128</v>
      </c>
      <c r="Z17" s="245">
        <v>0</v>
      </c>
      <c r="AA17" s="245">
        <v>37108200</v>
      </c>
      <c r="AB17" s="33">
        <f t="shared" si="8"/>
        <v>37108.199999999997</v>
      </c>
      <c r="AC17" s="245">
        <v>0</v>
      </c>
      <c r="AD17" s="245">
        <v>3372025.83</v>
      </c>
      <c r="AE17" s="46">
        <f t="shared" si="9"/>
        <v>3372.02583</v>
      </c>
    </row>
    <row r="18" spans="1:31" s="217" customFormat="1" x14ac:dyDescent="0.25">
      <c r="A18" s="130" t="s">
        <v>173</v>
      </c>
      <c r="B18" s="245">
        <v>0</v>
      </c>
      <c r="C18" s="245">
        <v>247027410.28</v>
      </c>
      <c r="D18" s="33">
        <f t="shared" si="0"/>
        <v>247027.41028000001</v>
      </c>
      <c r="E18" s="245">
        <v>0</v>
      </c>
      <c r="F18" s="245">
        <v>115052129.73999999</v>
      </c>
      <c r="G18" s="33">
        <f t="shared" si="1"/>
        <v>115052.12973999999</v>
      </c>
      <c r="H18" s="245">
        <v>0</v>
      </c>
      <c r="I18" s="245">
        <v>130981378.54000001</v>
      </c>
      <c r="J18" s="33">
        <f t="shared" si="2"/>
        <v>130981.37854000001</v>
      </c>
      <c r="K18" s="245">
        <v>0</v>
      </c>
      <c r="L18" s="245">
        <v>0</v>
      </c>
      <c r="M18" s="33">
        <f t="shared" si="3"/>
        <v>0</v>
      </c>
      <c r="N18" s="245">
        <v>0</v>
      </c>
      <c r="O18" s="245">
        <v>993902</v>
      </c>
      <c r="P18" s="33">
        <f t="shared" si="4"/>
        <v>993.90200000000004</v>
      </c>
      <c r="Q18" s="245">
        <v>0</v>
      </c>
      <c r="R18" s="245">
        <v>226968131.15000001</v>
      </c>
      <c r="S18" s="33">
        <f t="shared" si="5"/>
        <v>226968.13115</v>
      </c>
      <c r="T18" s="245">
        <v>0</v>
      </c>
      <c r="U18" s="245">
        <v>88056245.480000004</v>
      </c>
      <c r="V18" s="33">
        <f t="shared" si="6"/>
        <v>88056.245479999998</v>
      </c>
      <c r="W18" s="245">
        <v>0</v>
      </c>
      <c r="X18" s="245">
        <v>136474775.66999999</v>
      </c>
      <c r="Y18" s="33">
        <f t="shared" si="7"/>
        <v>136474.77566999997</v>
      </c>
      <c r="Z18" s="245">
        <v>0</v>
      </c>
      <c r="AA18" s="245">
        <v>0</v>
      </c>
      <c r="AB18" s="33">
        <f t="shared" si="8"/>
        <v>0</v>
      </c>
      <c r="AC18" s="245">
        <v>0</v>
      </c>
      <c r="AD18" s="245">
        <v>2437110</v>
      </c>
      <c r="AE18" s="46">
        <f t="shared" si="9"/>
        <v>2437.11</v>
      </c>
    </row>
    <row r="19" spans="1:31" s="217" customFormat="1" x14ac:dyDescent="0.25">
      <c r="A19" s="130" t="s">
        <v>174</v>
      </c>
      <c r="B19" s="245">
        <v>0</v>
      </c>
      <c r="C19" s="245">
        <v>323822815.85000002</v>
      </c>
      <c r="D19" s="33">
        <f t="shared" si="0"/>
        <v>323822.81585000001</v>
      </c>
      <c r="E19" s="245">
        <v>0</v>
      </c>
      <c r="F19" s="245">
        <v>65888320.189999998</v>
      </c>
      <c r="G19" s="33">
        <f t="shared" si="1"/>
        <v>65888.320189999999</v>
      </c>
      <c r="H19" s="245">
        <v>0</v>
      </c>
      <c r="I19" s="245">
        <v>229744945.44</v>
      </c>
      <c r="J19" s="33">
        <f t="shared" si="2"/>
        <v>229744.94544000001</v>
      </c>
      <c r="K19" s="245">
        <v>0</v>
      </c>
      <c r="L19" s="245">
        <v>27518700</v>
      </c>
      <c r="M19" s="33">
        <f t="shared" si="3"/>
        <v>27518.7</v>
      </c>
      <c r="N19" s="245">
        <v>0</v>
      </c>
      <c r="O19" s="245">
        <v>670850.22</v>
      </c>
      <c r="P19" s="33">
        <f t="shared" si="4"/>
        <v>670.85021999999992</v>
      </c>
      <c r="Q19" s="245">
        <v>0</v>
      </c>
      <c r="R19" s="245">
        <v>333856467.47000003</v>
      </c>
      <c r="S19" s="33">
        <f t="shared" si="5"/>
        <v>333856.46747000003</v>
      </c>
      <c r="T19" s="245">
        <v>0</v>
      </c>
      <c r="U19" s="245">
        <v>67255171.349999994</v>
      </c>
      <c r="V19" s="33">
        <f t="shared" si="6"/>
        <v>67255.17134999999</v>
      </c>
      <c r="W19" s="245">
        <v>0</v>
      </c>
      <c r="X19" s="245">
        <v>219159596.12</v>
      </c>
      <c r="Y19" s="33">
        <f t="shared" si="7"/>
        <v>219159.59612</v>
      </c>
      <c r="Z19" s="245">
        <v>0</v>
      </c>
      <c r="AA19" s="245">
        <v>42833100</v>
      </c>
      <c r="AB19" s="33">
        <f t="shared" si="8"/>
        <v>42833.1</v>
      </c>
      <c r="AC19" s="245">
        <v>0</v>
      </c>
      <c r="AD19" s="245">
        <v>4608600</v>
      </c>
      <c r="AE19" s="46">
        <f t="shared" si="9"/>
        <v>4608.6000000000004</v>
      </c>
    </row>
    <row r="20" spans="1:31" s="217" customFormat="1" x14ac:dyDescent="0.25">
      <c r="A20" s="130" t="s">
        <v>175</v>
      </c>
      <c r="B20" s="245">
        <v>0</v>
      </c>
      <c r="C20" s="245">
        <v>432424648.32999998</v>
      </c>
      <c r="D20" s="33">
        <f t="shared" si="0"/>
        <v>432424.64833</v>
      </c>
      <c r="E20" s="245">
        <v>0</v>
      </c>
      <c r="F20" s="245">
        <v>62160826.960000001</v>
      </c>
      <c r="G20" s="33">
        <f t="shared" si="1"/>
        <v>62160.826959999999</v>
      </c>
      <c r="H20" s="245">
        <v>0</v>
      </c>
      <c r="I20" s="245">
        <v>294288419.37</v>
      </c>
      <c r="J20" s="33">
        <f t="shared" si="2"/>
        <v>294288.41937000002</v>
      </c>
      <c r="K20" s="245">
        <v>0</v>
      </c>
      <c r="L20" s="245">
        <v>67954800</v>
      </c>
      <c r="M20" s="33">
        <f t="shared" si="3"/>
        <v>67954.8</v>
      </c>
      <c r="N20" s="245">
        <v>0</v>
      </c>
      <c r="O20" s="245">
        <v>8020602</v>
      </c>
      <c r="P20" s="33">
        <f t="shared" si="4"/>
        <v>8020.6019999999999</v>
      </c>
      <c r="Q20" s="245">
        <v>0</v>
      </c>
      <c r="R20" s="245">
        <v>403325592.19</v>
      </c>
      <c r="S20" s="33">
        <f t="shared" si="5"/>
        <v>403325.59219</v>
      </c>
      <c r="T20" s="245">
        <v>0</v>
      </c>
      <c r="U20" s="245">
        <v>30072083.940000001</v>
      </c>
      <c r="V20" s="33">
        <f t="shared" si="6"/>
        <v>30072.08394</v>
      </c>
      <c r="W20" s="245">
        <v>0</v>
      </c>
      <c r="X20" s="245">
        <v>294398092.25</v>
      </c>
      <c r="Y20" s="33">
        <f t="shared" si="7"/>
        <v>294398.09224999999</v>
      </c>
      <c r="Z20" s="245">
        <v>0</v>
      </c>
      <c r="AA20" s="245">
        <v>77294000</v>
      </c>
      <c r="AB20" s="33">
        <f t="shared" si="8"/>
        <v>77294</v>
      </c>
      <c r="AC20" s="245">
        <v>0</v>
      </c>
      <c r="AD20" s="245">
        <v>1561416</v>
      </c>
      <c r="AE20" s="46">
        <f t="shared" si="9"/>
        <v>1561.4159999999999</v>
      </c>
    </row>
    <row r="21" spans="1:31" s="217" customFormat="1" x14ac:dyDescent="0.25">
      <c r="A21" s="130" t="s">
        <v>176</v>
      </c>
      <c r="B21" s="245">
        <v>0</v>
      </c>
      <c r="C21" s="245">
        <v>619912980.69000006</v>
      </c>
      <c r="D21" s="33">
        <f t="shared" si="0"/>
        <v>619912.98069000011</v>
      </c>
      <c r="E21" s="245">
        <v>0</v>
      </c>
      <c r="F21" s="245">
        <v>198743360</v>
      </c>
      <c r="G21" s="33">
        <f t="shared" si="1"/>
        <v>198743.36</v>
      </c>
      <c r="H21" s="245">
        <v>0</v>
      </c>
      <c r="I21" s="245">
        <v>333683563.19</v>
      </c>
      <c r="J21" s="33">
        <f t="shared" si="2"/>
        <v>333683.56319000002</v>
      </c>
      <c r="K21" s="245">
        <v>0</v>
      </c>
      <c r="L21" s="245">
        <v>86712100</v>
      </c>
      <c r="M21" s="33">
        <f t="shared" si="3"/>
        <v>86712.1</v>
      </c>
      <c r="N21" s="245">
        <v>0</v>
      </c>
      <c r="O21" s="245">
        <v>773957.5</v>
      </c>
      <c r="P21" s="33">
        <f t="shared" si="4"/>
        <v>773.95749999999998</v>
      </c>
      <c r="Q21" s="245">
        <v>0</v>
      </c>
      <c r="R21" s="245">
        <v>631422503.15999997</v>
      </c>
      <c r="S21" s="33">
        <f t="shared" si="5"/>
        <v>631422.50315999996</v>
      </c>
      <c r="T21" s="245">
        <v>0</v>
      </c>
      <c r="U21" s="245">
        <v>202938194.87</v>
      </c>
      <c r="V21" s="33">
        <f t="shared" si="6"/>
        <v>202938.19487000001</v>
      </c>
      <c r="W21" s="245">
        <v>0</v>
      </c>
      <c r="X21" s="245">
        <v>336467865.29000002</v>
      </c>
      <c r="Y21" s="33">
        <f t="shared" si="7"/>
        <v>336467.86529000005</v>
      </c>
      <c r="Z21" s="245">
        <v>0</v>
      </c>
      <c r="AA21" s="245">
        <v>85501900</v>
      </c>
      <c r="AB21" s="33">
        <f t="shared" si="8"/>
        <v>85501.9</v>
      </c>
      <c r="AC21" s="245">
        <v>0</v>
      </c>
      <c r="AD21" s="245">
        <v>6514543</v>
      </c>
      <c r="AE21" s="46">
        <f t="shared" si="9"/>
        <v>6514.5429999999997</v>
      </c>
    </row>
    <row r="22" spans="1:31" s="217" customFormat="1" x14ac:dyDescent="0.25">
      <c r="A22" s="130" t="s">
        <v>177</v>
      </c>
      <c r="B22" s="245">
        <v>0</v>
      </c>
      <c r="C22" s="245">
        <v>586880830.60000002</v>
      </c>
      <c r="D22" s="33">
        <f t="shared" si="0"/>
        <v>586880.83059999999</v>
      </c>
      <c r="E22" s="245">
        <v>0</v>
      </c>
      <c r="F22" s="245">
        <v>88286444.680000007</v>
      </c>
      <c r="G22" s="33">
        <f t="shared" si="1"/>
        <v>88286.444680000001</v>
      </c>
      <c r="H22" s="245">
        <v>0</v>
      </c>
      <c r="I22" s="245">
        <v>414806502.22000003</v>
      </c>
      <c r="J22" s="33">
        <f t="shared" si="2"/>
        <v>414806.50222000002</v>
      </c>
      <c r="K22" s="245">
        <v>0</v>
      </c>
      <c r="L22" s="245">
        <v>81042600</v>
      </c>
      <c r="M22" s="33">
        <f t="shared" si="3"/>
        <v>81042.600000000006</v>
      </c>
      <c r="N22" s="245">
        <v>0</v>
      </c>
      <c r="O22" s="245">
        <v>2745283.7</v>
      </c>
      <c r="P22" s="33">
        <f t="shared" si="4"/>
        <v>2745.2837000000004</v>
      </c>
      <c r="Q22" s="245">
        <v>0</v>
      </c>
      <c r="R22" s="245">
        <v>597500237.08000004</v>
      </c>
      <c r="S22" s="33">
        <f t="shared" si="5"/>
        <v>597500.23707999999</v>
      </c>
      <c r="T22" s="245">
        <v>0</v>
      </c>
      <c r="U22" s="245">
        <v>92025620.879999995</v>
      </c>
      <c r="V22" s="33">
        <f t="shared" si="6"/>
        <v>92025.620880000002</v>
      </c>
      <c r="W22" s="245">
        <v>0</v>
      </c>
      <c r="X22" s="245">
        <v>415573095.19999999</v>
      </c>
      <c r="Y22" s="33">
        <f t="shared" si="7"/>
        <v>415573.09519999998</v>
      </c>
      <c r="Z22" s="245">
        <v>0</v>
      </c>
      <c r="AA22" s="245">
        <v>88611100</v>
      </c>
      <c r="AB22" s="33">
        <f t="shared" si="8"/>
        <v>88611.1</v>
      </c>
      <c r="AC22" s="245">
        <v>0</v>
      </c>
      <c r="AD22" s="245">
        <v>1290421</v>
      </c>
      <c r="AE22" s="46">
        <f t="shared" si="9"/>
        <v>1290.421</v>
      </c>
    </row>
    <row r="23" spans="1:31" s="217" customFormat="1" x14ac:dyDescent="0.25">
      <c r="A23" s="130" t="s">
        <v>178</v>
      </c>
      <c r="B23" s="245">
        <v>0</v>
      </c>
      <c r="C23" s="245">
        <v>594342193.69000006</v>
      </c>
      <c r="D23" s="33">
        <f t="shared" si="0"/>
        <v>594342.1936900001</v>
      </c>
      <c r="E23" s="245">
        <v>0</v>
      </c>
      <c r="F23" s="245">
        <v>347163196.76999998</v>
      </c>
      <c r="G23" s="33">
        <f t="shared" si="1"/>
        <v>347163.19676999998</v>
      </c>
      <c r="H23" s="245">
        <v>0</v>
      </c>
      <c r="I23" s="245">
        <v>235070664.80000001</v>
      </c>
      <c r="J23" s="33">
        <f t="shared" si="2"/>
        <v>235070.6648</v>
      </c>
      <c r="K23" s="245">
        <v>0</v>
      </c>
      <c r="L23" s="245">
        <v>6872500</v>
      </c>
      <c r="M23" s="33">
        <f t="shared" si="3"/>
        <v>6872.5</v>
      </c>
      <c r="N23" s="245">
        <v>0</v>
      </c>
      <c r="O23" s="245">
        <v>5235832.12</v>
      </c>
      <c r="P23" s="33">
        <f t="shared" si="4"/>
        <v>5235.83212</v>
      </c>
      <c r="Q23" s="245">
        <v>0</v>
      </c>
      <c r="R23" s="245">
        <v>391668858.91000003</v>
      </c>
      <c r="S23" s="33">
        <f t="shared" si="5"/>
        <v>391668.85891000001</v>
      </c>
      <c r="T23" s="245">
        <v>0</v>
      </c>
      <c r="U23" s="245">
        <v>146150737.37</v>
      </c>
      <c r="V23" s="33">
        <f t="shared" si="6"/>
        <v>146150.73737000002</v>
      </c>
      <c r="W23" s="245">
        <v>0</v>
      </c>
      <c r="X23" s="245">
        <v>245019587.53999999</v>
      </c>
      <c r="Y23" s="33">
        <f t="shared" si="7"/>
        <v>245019.58753999998</v>
      </c>
      <c r="Z23" s="245">
        <v>0</v>
      </c>
      <c r="AA23" s="245">
        <v>0</v>
      </c>
      <c r="AB23" s="33">
        <f t="shared" si="8"/>
        <v>0</v>
      </c>
      <c r="AC23" s="245">
        <v>0</v>
      </c>
      <c r="AD23" s="245">
        <v>498534</v>
      </c>
      <c r="AE23" s="46">
        <f t="shared" si="9"/>
        <v>498.53399999999999</v>
      </c>
    </row>
    <row r="24" spans="1:31" s="217" customFormat="1" x14ac:dyDescent="0.25">
      <c r="A24" s="130" t="s">
        <v>179</v>
      </c>
      <c r="B24" s="245">
        <v>0</v>
      </c>
      <c r="C24" s="245">
        <v>600007366.75</v>
      </c>
      <c r="D24" s="33">
        <f t="shared" si="0"/>
        <v>600007.36675000004</v>
      </c>
      <c r="E24" s="245">
        <v>0</v>
      </c>
      <c r="F24" s="245">
        <v>186126376.05000001</v>
      </c>
      <c r="G24" s="33">
        <f t="shared" si="1"/>
        <v>186126.37605000002</v>
      </c>
      <c r="H24" s="245">
        <v>0</v>
      </c>
      <c r="I24" s="245">
        <v>359902918.16000003</v>
      </c>
      <c r="J24" s="33">
        <f t="shared" si="2"/>
        <v>359902.91816</v>
      </c>
      <c r="K24" s="245">
        <v>0</v>
      </c>
      <c r="L24" s="245">
        <v>48821000</v>
      </c>
      <c r="M24" s="33">
        <f t="shared" si="3"/>
        <v>48821</v>
      </c>
      <c r="N24" s="245">
        <v>0</v>
      </c>
      <c r="O24" s="245">
        <v>5157072.54</v>
      </c>
      <c r="P24" s="33">
        <f t="shared" si="4"/>
        <v>5157.0725400000001</v>
      </c>
      <c r="Q24" s="245">
        <v>0</v>
      </c>
      <c r="R24" s="245">
        <v>568753446.66999996</v>
      </c>
      <c r="S24" s="33">
        <f t="shared" si="5"/>
        <v>568753.44666999998</v>
      </c>
      <c r="T24" s="245">
        <v>0</v>
      </c>
      <c r="U24" s="245">
        <v>125553090.91</v>
      </c>
      <c r="V24" s="33">
        <f t="shared" si="6"/>
        <v>125553.09091</v>
      </c>
      <c r="W24" s="245">
        <v>0</v>
      </c>
      <c r="X24" s="245">
        <v>381408577.91000003</v>
      </c>
      <c r="Y24" s="33">
        <f t="shared" si="7"/>
        <v>381408.57791000005</v>
      </c>
      <c r="Z24" s="245">
        <v>0</v>
      </c>
      <c r="AA24" s="245">
        <v>56843600</v>
      </c>
      <c r="AB24" s="33">
        <f t="shared" si="8"/>
        <v>56843.6</v>
      </c>
      <c r="AC24" s="245">
        <v>0</v>
      </c>
      <c r="AD24" s="245">
        <v>4948177.8499999996</v>
      </c>
      <c r="AE24" s="46">
        <f t="shared" si="9"/>
        <v>4948.17785</v>
      </c>
    </row>
    <row r="25" spans="1:31" s="217" customFormat="1" x14ac:dyDescent="0.25">
      <c r="A25" s="130" t="s">
        <v>180</v>
      </c>
      <c r="B25" s="245">
        <v>0</v>
      </c>
      <c r="C25" s="245">
        <v>640149094.67999995</v>
      </c>
      <c r="D25" s="33">
        <f t="shared" si="0"/>
        <v>640149.09467999998</v>
      </c>
      <c r="E25" s="245">
        <v>0</v>
      </c>
      <c r="F25" s="245">
        <v>204862065.09999999</v>
      </c>
      <c r="G25" s="33">
        <f t="shared" si="1"/>
        <v>204862.06510000001</v>
      </c>
      <c r="H25" s="245">
        <v>0</v>
      </c>
      <c r="I25" s="245">
        <v>385422156.45999998</v>
      </c>
      <c r="J25" s="33">
        <f t="shared" si="2"/>
        <v>385422.15645999997</v>
      </c>
      <c r="K25" s="245">
        <v>0</v>
      </c>
      <c r="L25" s="245">
        <v>46820900</v>
      </c>
      <c r="M25" s="33">
        <f t="shared" si="3"/>
        <v>46820.9</v>
      </c>
      <c r="N25" s="245">
        <v>0</v>
      </c>
      <c r="O25" s="245">
        <v>3043973.1200000001</v>
      </c>
      <c r="P25" s="33">
        <f t="shared" si="4"/>
        <v>3043.9731200000001</v>
      </c>
      <c r="Q25" s="245">
        <v>0</v>
      </c>
      <c r="R25" s="245">
        <v>542642402.54999995</v>
      </c>
      <c r="S25" s="33">
        <f t="shared" si="5"/>
        <v>542642.40255</v>
      </c>
      <c r="T25" s="245">
        <v>0</v>
      </c>
      <c r="U25" s="245">
        <v>134474929.90000001</v>
      </c>
      <c r="V25" s="33">
        <f t="shared" si="6"/>
        <v>134474.92990000002</v>
      </c>
      <c r="W25" s="245">
        <v>0</v>
      </c>
      <c r="X25" s="245">
        <v>347319530.60000002</v>
      </c>
      <c r="Y25" s="33">
        <f t="shared" si="7"/>
        <v>347319.5306</v>
      </c>
      <c r="Z25" s="245">
        <v>0</v>
      </c>
      <c r="AA25" s="245">
        <v>59621000</v>
      </c>
      <c r="AB25" s="33">
        <f t="shared" si="8"/>
        <v>59621</v>
      </c>
      <c r="AC25" s="245">
        <v>0</v>
      </c>
      <c r="AD25" s="245">
        <v>1226942.05</v>
      </c>
      <c r="AE25" s="46">
        <f t="shared" si="9"/>
        <v>1226.9420500000001</v>
      </c>
    </row>
    <row r="26" spans="1:31" s="217" customFormat="1" x14ac:dyDescent="0.25">
      <c r="A26" s="130" t="s">
        <v>181</v>
      </c>
      <c r="B26" s="245">
        <v>0</v>
      </c>
      <c r="C26" s="245">
        <v>220869309.71000001</v>
      </c>
      <c r="D26" s="33">
        <f t="shared" si="0"/>
        <v>220869.30971</v>
      </c>
      <c r="E26" s="245">
        <v>0</v>
      </c>
      <c r="F26" s="245">
        <v>51017180.939999998</v>
      </c>
      <c r="G26" s="33">
        <f t="shared" si="1"/>
        <v>51017.180939999998</v>
      </c>
      <c r="H26" s="245">
        <v>0</v>
      </c>
      <c r="I26" s="245">
        <v>130628701.77</v>
      </c>
      <c r="J26" s="33">
        <f t="shared" si="2"/>
        <v>130628.70177</v>
      </c>
      <c r="K26" s="245">
        <v>0</v>
      </c>
      <c r="L26" s="245">
        <v>39038700</v>
      </c>
      <c r="M26" s="33">
        <f t="shared" si="3"/>
        <v>39038.699999999997</v>
      </c>
      <c r="N26" s="245">
        <v>0</v>
      </c>
      <c r="O26" s="245">
        <v>184727</v>
      </c>
      <c r="P26" s="33">
        <f t="shared" si="4"/>
        <v>184.727</v>
      </c>
      <c r="Q26" s="245">
        <v>0</v>
      </c>
      <c r="R26" s="245">
        <v>211202520.65000001</v>
      </c>
      <c r="S26" s="33">
        <f t="shared" si="5"/>
        <v>211202.52065000002</v>
      </c>
      <c r="T26" s="245">
        <v>0</v>
      </c>
      <c r="U26" s="245">
        <v>42325312</v>
      </c>
      <c r="V26" s="33">
        <f t="shared" si="6"/>
        <v>42325.311999999998</v>
      </c>
      <c r="W26" s="245">
        <v>0</v>
      </c>
      <c r="X26" s="245">
        <v>125882008.65000001</v>
      </c>
      <c r="Y26" s="33">
        <f t="shared" si="7"/>
        <v>125882.00865</v>
      </c>
      <c r="Z26" s="245">
        <v>0</v>
      </c>
      <c r="AA26" s="245">
        <v>41378200</v>
      </c>
      <c r="AB26" s="33">
        <f t="shared" si="8"/>
        <v>41378.199999999997</v>
      </c>
      <c r="AC26" s="245">
        <v>0</v>
      </c>
      <c r="AD26" s="245">
        <v>1617000</v>
      </c>
      <c r="AE26" s="46">
        <f t="shared" si="9"/>
        <v>1617</v>
      </c>
    </row>
    <row r="27" spans="1:31" s="217" customFormat="1" x14ac:dyDescent="0.25">
      <c r="A27" s="130" t="s">
        <v>182</v>
      </c>
      <c r="B27" s="245">
        <v>2684593348.21</v>
      </c>
      <c r="C27" s="245">
        <v>0</v>
      </c>
      <c r="D27" s="33">
        <f t="shared" si="0"/>
        <v>2684593.34821</v>
      </c>
      <c r="E27" s="245">
        <v>290770433.87</v>
      </c>
      <c r="F27" s="245">
        <v>0</v>
      </c>
      <c r="G27" s="33">
        <f t="shared" si="1"/>
        <v>290770.43387000001</v>
      </c>
      <c r="H27" s="245">
        <v>2205457710.0500002</v>
      </c>
      <c r="I27" s="245">
        <v>0</v>
      </c>
      <c r="J27" s="33">
        <f t="shared" si="2"/>
        <v>2205457.7100500003</v>
      </c>
      <c r="K27" s="245">
        <v>70868500</v>
      </c>
      <c r="L27" s="245">
        <v>0</v>
      </c>
      <c r="M27" s="33">
        <f t="shared" si="3"/>
        <v>70868.5</v>
      </c>
      <c r="N27" s="245">
        <v>117496704.29000001</v>
      </c>
      <c r="O27" s="245">
        <v>0</v>
      </c>
      <c r="P27" s="33">
        <f t="shared" si="4"/>
        <v>117496.70429000001</v>
      </c>
      <c r="Q27" s="245">
        <v>2379096655.5599999</v>
      </c>
      <c r="R27" s="245">
        <v>0</v>
      </c>
      <c r="S27" s="33">
        <f t="shared" si="5"/>
        <v>2379096.6555599999</v>
      </c>
      <c r="T27" s="245">
        <v>112471567.34999999</v>
      </c>
      <c r="U27" s="245">
        <v>0</v>
      </c>
      <c r="V27" s="33">
        <f t="shared" si="6"/>
        <v>112471.56735</v>
      </c>
      <c r="W27" s="245">
        <v>2261534297.73</v>
      </c>
      <c r="X27" s="245">
        <v>0</v>
      </c>
      <c r="Y27" s="33">
        <f t="shared" si="7"/>
        <v>2261534.2977300002</v>
      </c>
      <c r="Z27" s="245">
        <v>0</v>
      </c>
      <c r="AA27" s="245">
        <v>0</v>
      </c>
      <c r="AB27" s="33">
        <f t="shared" si="8"/>
        <v>0</v>
      </c>
      <c r="AC27" s="245">
        <v>5090790.4800000004</v>
      </c>
      <c r="AD27" s="245">
        <v>0</v>
      </c>
      <c r="AE27" s="46">
        <f t="shared" si="9"/>
        <v>5090.7904800000006</v>
      </c>
    </row>
    <row r="28" spans="1:31" s="217" customFormat="1" x14ac:dyDescent="0.25">
      <c r="A28" s="130" t="s">
        <v>183</v>
      </c>
      <c r="B28" s="245">
        <v>2102821659.22</v>
      </c>
      <c r="C28" s="245">
        <v>0</v>
      </c>
      <c r="D28" s="33">
        <f t="shared" si="0"/>
        <v>2102821.6592199998</v>
      </c>
      <c r="E28" s="245">
        <v>561647508.28999996</v>
      </c>
      <c r="F28" s="245">
        <v>0</v>
      </c>
      <c r="G28" s="33">
        <f t="shared" si="1"/>
        <v>561647.50828999991</v>
      </c>
      <c r="H28" s="245">
        <v>1536937644.4100001</v>
      </c>
      <c r="I28" s="245">
        <v>0</v>
      </c>
      <c r="J28" s="33">
        <f t="shared" si="2"/>
        <v>1536937.6444100002</v>
      </c>
      <c r="K28" s="245">
        <v>0</v>
      </c>
      <c r="L28" s="245">
        <v>0</v>
      </c>
      <c r="M28" s="33">
        <f t="shared" si="3"/>
        <v>0</v>
      </c>
      <c r="N28" s="245">
        <v>4236506.5199999996</v>
      </c>
      <c r="O28" s="245">
        <v>0</v>
      </c>
      <c r="P28" s="33">
        <f t="shared" si="4"/>
        <v>4236.5065199999999</v>
      </c>
      <c r="Q28" s="245">
        <v>2276627194.4200001</v>
      </c>
      <c r="R28" s="245">
        <v>0</v>
      </c>
      <c r="S28" s="33">
        <f t="shared" si="5"/>
        <v>2276627.1944200001</v>
      </c>
      <c r="T28" s="245">
        <v>701946751.74000001</v>
      </c>
      <c r="U28" s="245">
        <v>0</v>
      </c>
      <c r="V28" s="33">
        <f t="shared" si="6"/>
        <v>701946.75173999998</v>
      </c>
      <c r="W28" s="245">
        <v>1571467743.96</v>
      </c>
      <c r="X28" s="245">
        <v>0</v>
      </c>
      <c r="Y28" s="33">
        <f t="shared" si="7"/>
        <v>1571467.7439600001</v>
      </c>
      <c r="Z28" s="245">
        <v>0</v>
      </c>
      <c r="AA28" s="245">
        <v>0</v>
      </c>
      <c r="AB28" s="33">
        <f t="shared" si="8"/>
        <v>0</v>
      </c>
      <c r="AC28" s="245">
        <v>3212698.72</v>
      </c>
      <c r="AD28" s="245">
        <v>0</v>
      </c>
      <c r="AE28" s="46">
        <f t="shared" si="9"/>
        <v>3212.6987200000003</v>
      </c>
    </row>
    <row r="29" spans="1:31" s="217" customFormat="1" x14ac:dyDescent="0.25">
      <c r="A29" s="130" t="s">
        <v>184</v>
      </c>
      <c r="B29" s="245">
        <v>733559937.24000001</v>
      </c>
      <c r="C29" s="245">
        <v>0</v>
      </c>
      <c r="D29" s="33">
        <f t="shared" si="0"/>
        <v>733559.93724</v>
      </c>
      <c r="E29" s="245">
        <v>106843686</v>
      </c>
      <c r="F29" s="245">
        <v>0</v>
      </c>
      <c r="G29" s="33">
        <f t="shared" si="1"/>
        <v>106843.686</v>
      </c>
      <c r="H29" s="245">
        <v>575082846.60000002</v>
      </c>
      <c r="I29" s="245">
        <v>0</v>
      </c>
      <c r="J29" s="33">
        <f t="shared" si="2"/>
        <v>575082.84660000005</v>
      </c>
      <c r="K29" s="245">
        <v>42973900</v>
      </c>
      <c r="L29" s="245">
        <v>0</v>
      </c>
      <c r="M29" s="33">
        <f t="shared" si="3"/>
        <v>42973.9</v>
      </c>
      <c r="N29" s="245">
        <v>8659504.6400000006</v>
      </c>
      <c r="O29" s="245">
        <v>0</v>
      </c>
      <c r="P29" s="33">
        <f t="shared" si="4"/>
        <v>8659.504640000001</v>
      </c>
      <c r="Q29" s="245">
        <v>779879056.51999998</v>
      </c>
      <c r="R29" s="245">
        <v>0</v>
      </c>
      <c r="S29" s="33">
        <f t="shared" si="5"/>
        <v>779879.05651999998</v>
      </c>
      <c r="T29" s="245">
        <v>64891571.5</v>
      </c>
      <c r="U29" s="245">
        <v>0</v>
      </c>
      <c r="V29" s="33">
        <f t="shared" si="6"/>
        <v>64891.571499999998</v>
      </c>
      <c r="W29" s="245">
        <v>595262334.22000003</v>
      </c>
      <c r="X29" s="245">
        <v>0</v>
      </c>
      <c r="Y29" s="33">
        <f t="shared" si="7"/>
        <v>595262.33422000008</v>
      </c>
      <c r="Z29" s="245">
        <v>117890700</v>
      </c>
      <c r="AA29" s="245">
        <v>0</v>
      </c>
      <c r="AB29" s="33">
        <f t="shared" si="8"/>
        <v>117890.7</v>
      </c>
      <c r="AC29" s="245">
        <v>1834450.8</v>
      </c>
      <c r="AD29" s="245">
        <v>0</v>
      </c>
      <c r="AE29" s="46">
        <f t="shared" si="9"/>
        <v>1834.4508000000001</v>
      </c>
    </row>
    <row r="30" spans="1:31" s="217" customFormat="1" x14ac:dyDescent="0.25">
      <c r="A30" s="130" t="s">
        <v>185</v>
      </c>
      <c r="B30" s="245">
        <v>416472114.45999998</v>
      </c>
      <c r="C30" s="245">
        <v>0</v>
      </c>
      <c r="D30" s="33">
        <f t="shared" si="0"/>
        <v>416472.11445999995</v>
      </c>
      <c r="E30" s="245">
        <v>99257434.819999993</v>
      </c>
      <c r="F30" s="245">
        <v>0</v>
      </c>
      <c r="G30" s="33">
        <f t="shared" si="1"/>
        <v>99257.434819999995</v>
      </c>
      <c r="H30" s="245">
        <v>262987639.63999999</v>
      </c>
      <c r="I30" s="245">
        <v>0</v>
      </c>
      <c r="J30" s="33">
        <f t="shared" si="2"/>
        <v>262987.63964000001</v>
      </c>
      <c r="K30" s="245">
        <v>53015600</v>
      </c>
      <c r="L30" s="245">
        <v>0</v>
      </c>
      <c r="M30" s="33">
        <f t="shared" si="3"/>
        <v>53015.6</v>
      </c>
      <c r="N30" s="245">
        <v>1211440</v>
      </c>
      <c r="O30" s="245">
        <v>0</v>
      </c>
      <c r="P30" s="33">
        <f t="shared" si="4"/>
        <v>1211.44</v>
      </c>
      <c r="Q30" s="245">
        <v>341181236.04000002</v>
      </c>
      <c r="R30" s="245">
        <v>0</v>
      </c>
      <c r="S30" s="33">
        <f t="shared" si="5"/>
        <v>341181.23604000005</v>
      </c>
      <c r="T30" s="245">
        <v>15033302.689999999</v>
      </c>
      <c r="U30" s="245">
        <v>0</v>
      </c>
      <c r="V30" s="33">
        <f t="shared" si="6"/>
        <v>15033.302689999999</v>
      </c>
      <c r="W30" s="245">
        <v>268404033.34999999</v>
      </c>
      <c r="X30" s="245">
        <v>0</v>
      </c>
      <c r="Y30" s="33">
        <f t="shared" si="7"/>
        <v>268404.03334999998</v>
      </c>
      <c r="Z30" s="245">
        <v>57743900</v>
      </c>
      <c r="AA30" s="245">
        <v>0</v>
      </c>
      <c r="AB30" s="33">
        <f t="shared" si="8"/>
        <v>57743.9</v>
      </c>
      <c r="AC30" s="245">
        <v>0</v>
      </c>
      <c r="AD30" s="245">
        <v>0</v>
      </c>
      <c r="AE30" s="46">
        <f t="shared" si="9"/>
        <v>0</v>
      </c>
    </row>
    <row r="31" spans="1:31" s="217" customFormat="1" x14ac:dyDescent="0.25">
      <c r="A31" s="130" t="s">
        <v>186</v>
      </c>
      <c r="B31" s="245">
        <v>334985285.69999999</v>
      </c>
      <c r="C31" s="245">
        <v>0</v>
      </c>
      <c r="D31" s="33">
        <f t="shared" si="0"/>
        <v>334985.28570000001</v>
      </c>
      <c r="E31" s="245">
        <v>32134162.859999999</v>
      </c>
      <c r="F31" s="245">
        <v>0</v>
      </c>
      <c r="G31" s="33">
        <f t="shared" si="1"/>
        <v>32134.16286</v>
      </c>
      <c r="H31" s="245">
        <v>289851223.83999997</v>
      </c>
      <c r="I31" s="245">
        <v>0</v>
      </c>
      <c r="J31" s="33">
        <f t="shared" si="2"/>
        <v>289851.22383999999</v>
      </c>
      <c r="K31" s="245">
        <v>8795800</v>
      </c>
      <c r="L31" s="245">
        <v>0</v>
      </c>
      <c r="M31" s="33">
        <f t="shared" si="3"/>
        <v>8795.7999999999993</v>
      </c>
      <c r="N31" s="245">
        <v>4204099</v>
      </c>
      <c r="O31" s="245">
        <v>0</v>
      </c>
      <c r="P31" s="33">
        <f t="shared" si="4"/>
        <v>4204.0990000000002</v>
      </c>
      <c r="Q31" s="245">
        <v>328336891.81</v>
      </c>
      <c r="R31" s="245">
        <v>0</v>
      </c>
      <c r="S31" s="33">
        <f t="shared" si="5"/>
        <v>328336.89181</v>
      </c>
      <c r="T31" s="245">
        <v>28580595.859999999</v>
      </c>
      <c r="U31" s="245">
        <v>0</v>
      </c>
      <c r="V31" s="33">
        <f t="shared" si="6"/>
        <v>28580.595859999998</v>
      </c>
      <c r="W31" s="245">
        <v>290317643.94999999</v>
      </c>
      <c r="X31" s="245">
        <v>0</v>
      </c>
      <c r="Y31" s="33">
        <f t="shared" si="7"/>
        <v>290317.64395</v>
      </c>
      <c r="Z31" s="245">
        <v>9403000</v>
      </c>
      <c r="AA31" s="245">
        <v>0</v>
      </c>
      <c r="AB31" s="33">
        <f t="shared" si="8"/>
        <v>9403</v>
      </c>
      <c r="AC31" s="245">
        <v>35652</v>
      </c>
      <c r="AD31" s="245">
        <v>0</v>
      </c>
      <c r="AE31" s="46">
        <f t="shared" si="9"/>
        <v>35.652000000000001</v>
      </c>
    </row>
    <row r="32" spans="1:31" s="217" customFormat="1" x14ac:dyDescent="0.25">
      <c r="A32" s="130" t="s">
        <v>187</v>
      </c>
      <c r="B32" s="245">
        <v>334715305.54000002</v>
      </c>
      <c r="C32" s="245">
        <v>0</v>
      </c>
      <c r="D32" s="33">
        <f t="shared" si="0"/>
        <v>334715.30554000003</v>
      </c>
      <c r="E32" s="245">
        <v>12568712.51</v>
      </c>
      <c r="F32" s="245">
        <v>0</v>
      </c>
      <c r="G32" s="33">
        <f t="shared" si="1"/>
        <v>12568.712509999999</v>
      </c>
      <c r="H32" s="245">
        <v>209488893.03</v>
      </c>
      <c r="I32" s="245">
        <v>0</v>
      </c>
      <c r="J32" s="33">
        <f t="shared" si="2"/>
        <v>209488.89303000001</v>
      </c>
      <c r="K32" s="245">
        <v>112657700</v>
      </c>
      <c r="L32" s="245">
        <v>0</v>
      </c>
      <c r="M32" s="33">
        <f t="shared" si="3"/>
        <v>112657.7</v>
      </c>
      <c r="N32" s="245">
        <v>0</v>
      </c>
      <c r="O32" s="245">
        <v>0</v>
      </c>
      <c r="P32" s="33">
        <f t="shared" si="4"/>
        <v>0</v>
      </c>
      <c r="Q32" s="245">
        <v>362363639.94</v>
      </c>
      <c r="R32" s="245">
        <v>0</v>
      </c>
      <c r="S32" s="33">
        <f t="shared" si="5"/>
        <v>362363.63994000002</v>
      </c>
      <c r="T32" s="245">
        <v>33326813</v>
      </c>
      <c r="U32" s="245">
        <v>0</v>
      </c>
      <c r="V32" s="33">
        <f t="shared" si="6"/>
        <v>33326.813000000002</v>
      </c>
      <c r="W32" s="245">
        <v>217466826.94</v>
      </c>
      <c r="X32" s="245">
        <v>0</v>
      </c>
      <c r="Y32" s="33">
        <f t="shared" si="7"/>
        <v>217466.82694</v>
      </c>
      <c r="Z32" s="245">
        <v>111570000</v>
      </c>
      <c r="AA32" s="245">
        <v>0</v>
      </c>
      <c r="AB32" s="33">
        <f t="shared" si="8"/>
        <v>111570</v>
      </c>
      <c r="AC32" s="245">
        <v>0</v>
      </c>
      <c r="AD32" s="245">
        <v>0</v>
      </c>
      <c r="AE32" s="46">
        <f t="shared" si="9"/>
        <v>0</v>
      </c>
    </row>
    <row r="33" spans="1:31" s="217" customFormat="1" x14ac:dyDescent="0.25">
      <c r="A33" s="130" t="s">
        <v>188</v>
      </c>
      <c r="B33" s="245">
        <v>4508537.7300000004</v>
      </c>
      <c r="C33" s="245">
        <v>0</v>
      </c>
      <c r="D33" s="33">
        <f t="shared" si="0"/>
        <v>4508.53773</v>
      </c>
      <c r="E33" s="245">
        <v>7000</v>
      </c>
      <c r="F33" s="245">
        <v>0</v>
      </c>
      <c r="G33" s="33">
        <f t="shared" si="1"/>
        <v>7</v>
      </c>
      <c r="H33" s="245">
        <v>3937837.73</v>
      </c>
      <c r="I33" s="245">
        <v>0</v>
      </c>
      <c r="J33" s="33">
        <f t="shared" si="2"/>
        <v>3937.8377300000002</v>
      </c>
      <c r="K33" s="245">
        <v>563700</v>
      </c>
      <c r="L33" s="245">
        <v>0</v>
      </c>
      <c r="M33" s="33">
        <f t="shared" si="3"/>
        <v>563.70000000000005</v>
      </c>
      <c r="N33" s="245">
        <v>0</v>
      </c>
      <c r="O33" s="245">
        <v>0</v>
      </c>
      <c r="P33" s="33">
        <f t="shared" si="4"/>
        <v>0</v>
      </c>
      <c r="Q33" s="245">
        <v>5087422.62</v>
      </c>
      <c r="R33" s="245">
        <v>0</v>
      </c>
      <c r="S33" s="33">
        <f t="shared" si="5"/>
        <v>5087.4226200000003</v>
      </c>
      <c r="T33" s="245">
        <v>0</v>
      </c>
      <c r="U33" s="245">
        <v>0</v>
      </c>
      <c r="V33" s="33">
        <f t="shared" si="6"/>
        <v>0</v>
      </c>
      <c r="W33" s="245">
        <v>4487422.62</v>
      </c>
      <c r="X33" s="245">
        <v>0</v>
      </c>
      <c r="Y33" s="33">
        <f t="shared" si="7"/>
        <v>4487.4226200000003</v>
      </c>
      <c r="Z33" s="245">
        <v>600000</v>
      </c>
      <c r="AA33" s="245">
        <v>0</v>
      </c>
      <c r="AB33" s="33">
        <f t="shared" si="8"/>
        <v>600</v>
      </c>
      <c r="AC33" s="245">
        <v>0</v>
      </c>
      <c r="AD33" s="245">
        <v>0</v>
      </c>
      <c r="AE33" s="46">
        <f t="shared" si="9"/>
        <v>0</v>
      </c>
    </row>
    <row r="34" spans="1:31" s="246" customFormat="1" ht="13.8" thickBot="1" x14ac:dyDescent="0.3">
      <c r="A34" s="242" t="s">
        <v>224</v>
      </c>
      <c r="B34" s="236">
        <f t="shared" ref="B34:C34" si="10">SUM(B8:B33)</f>
        <v>6611656188.0999994</v>
      </c>
      <c r="C34" s="236">
        <f t="shared" si="10"/>
        <v>8009605629.6900015</v>
      </c>
      <c r="D34" s="236">
        <f>SUM(D8:D33)</f>
        <v>14621261.817790003</v>
      </c>
      <c r="E34" s="236">
        <f t="shared" ref="E34:AE34" si="11">SUM(E8:E33)</f>
        <v>1103228938.3499999</v>
      </c>
      <c r="F34" s="236">
        <f t="shared" si="11"/>
        <v>2730385389.1600003</v>
      </c>
      <c r="G34" s="236">
        <f t="shared" si="11"/>
        <v>3833614.3275100002</v>
      </c>
      <c r="H34" s="236">
        <f t="shared" si="11"/>
        <v>5083743795.3000002</v>
      </c>
      <c r="I34" s="236">
        <f t="shared" si="11"/>
        <v>4453349238.7600002</v>
      </c>
      <c r="J34" s="236">
        <f t="shared" si="11"/>
        <v>9537093.0340600014</v>
      </c>
      <c r="K34" s="236">
        <f t="shared" si="11"/>
        <v>288875200</v>
      </c>
      <c r="L34" s="236">
        <f t="shared" si="11"/>
        <v>770235500</v>
      </c>
      <c r="M34" s="236">
        <f t="shared" si="11"/>
        <v>1059110.7</v>
      </c>
      <c r="N34" s="236">
        <f t="shared" si="11"/>
        <v>135808254.44999999</v>
      </c>
      <c r="O34" s="236">
        <f t="shared" si="11"/>
        <v>55635501.769999996</v>
      </c>
      <c r="P34" s="236">
        <f t="shared" si="11"/>
        <v>191443.75621999998</v>
      </c>
      <c r="Q34" s="236">
        <f t="shared" si="11"/>
        <v>6472572096.9099998</v>
      </c>
      <c r="R34" s="236">
        <f t="shared" si="11"/>
        <v>7531987602.0999994</v>
      </c>
      <c r="S34" s="236">
        <f t="shared" si="11"/>
        <v>14004559.69901</v>
      </c>
      <c r="T34" s="236">
        <f t="shared" si="11"/>
        <v>956250602.1400001</v>
      </c>
      <c r="U34" s="236">
        <f t="shared" si="11"/>
        <v>2164728073.8299999</v>
      </c>
      <c r="V34" s="236">
        <f t="shared" si="11"/>
        <v>3120978.6759699993</v>
      </c>
      <c r="W34" s="236">
        <f t="shared" si="11"/>
        <v>5208940302.7699995</v>
      </c>
      <c r="X34" s="236">
        <f t="shared" si="11"/>
        <v>4489608037.75</v>
      </c>
      <c r="Y34" s="236">
        <f t="shared" si="11"/>
        <v>9698548.3405200019</v>
      </c>
      <c r="Z34" s="236">
        <f t="shared" si="11"/>
        <v>297207600</v>
      </c>
      <c r="AA34" s="236">
        <f t="shared" si="11"/>
        <v>837354800</v>
      </c>
      <c r="AB34" s="236">
        <f t="shared" si="11"/>
        <v>1134562.3999999999</v>
      </c>
      <c r="AC34" s="236">
        <f t="shared" si="11"/>
        <v>10173592.000000002</v>
      </c>
      <c r="AD34" s="236">
        <f t="shared" si="11"/>
        <v>40296690.519999996</v>
      </c>
      <c r="AE34" s="237">
        <f t="shared" si="11"/>
        <v>50470.282520000008</v>
      </c>
    </row>
    <row r="35" spans="1:31" ht="79.8" thickTop="1" x14ac:dyDescent="0.25">
      <c r="P35" s="296" t="s">
        <v>446</v>
      </c>
      <c r="R35" s="296" t="s">
        <v>410</v>
      </c>
      <c r="S35" s="220">
        <f>'1.1. Конс.'!L31/1000</f>
        <v>14002962.177209998</v>
      </c>
    </row>
    <row r="36" spans="1:31" x14ac:dyDescent="0.25">
      <c r="P36" s="220" t="s">
        <v>409</v>
      </c>
      <c r="R36" s="296" t="s">
        <v>409</v>
      </c>
      <c r="S36" s="220">
        <f>S35-S34</f>
        <v>-1597.5218000020832</v>
      </c>
    </row>
  </sheetData>
  <mergeCells count="16">
    <mergeCell ref="AC5:AE5"/>
    <mergeCell ref="A1:AE1"/>
    <mergeCell ref="A4:A6"/>
    <mergeCell ref="B4:C5"/>
    <mergeCell ref="D4:D6"/>
    <mergeCell ref="E4:P4"/>
    <mergeCell ref="Q4:R5"/>
    <mergeCell ref="S4:S6"/>
    <mergeCell ref="T4:AE4"/>
    <mergeCell ref="E5:G5"/>
    <mergeCell ref="H5:J5"/>
    <mergeCell ref="K5:M5"/>
    <mergeCell ref="N5:P5"/>
    <mergeCell ref="T5:V5"/>
    <mergeCell ref="W5:Y5"/>
    <mergeCell ref="Z5:AB5"/>
  </mergeCells>
  <pageMargins left="0" right="0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5"/>
  <sheetViews>
    <sheetView zoomScale="115" zoomScaleNormal="115" workbookViewId="0">
      <pane xSplit="1" ySplit="8" topLeftCell="N9" activePane="bottomRight" state="frozen"/>
      <selection activeCell="B20" sqref="B20"/>
      <selection pane="topRight" activeCell="B20" sqref="B20"/>
      <selection pane="bottomLeft" activeCell="B20" sqref="B20"/>
      <selection pane="bottomRight" activeCell="Q5" sqref="Q5:Q7"/>
    </sheetView>
  </sheetViews>
  <sheetFormatPr defaultColWidth="9.109375" defaultRowHeight="13.2" x14ac:dyDescent="0.25"/>
  <cols>
    <col min="1" max="1" width="48.5546875" style="1" customWidth="1"/>
    <col min="2" max="2" width="9.33203125" style="3" customWidth="1"/>
    <col min="3" max="3" width="9.6640625" style="3" bestFit="1" customWidth="1"/>
    <col min="4" max="4" width="9.33203125" style="3" customWidth="1"/>
    <col min="5" max="6" width="8.5546875" style="3" hidden="1" customWidth="1"/>
    <col min="7" max="7" width="8.109375" style="3" hidden="1" customWidth="1"/>
    <col min="8" max="8" width="10.109375" style="3" bestFit="1" customWidth="1"/>
    <col min="9" max="9" width="9.109375" style="3"/>
    <col min="10" max="10" width="9.44140625" style="3" customWidth="1"/>
    <col min="11" max="11" width="8.88671875" style="3" hidden="1" customWidth="1"/>
    <col min="12" max="12" width="8.44140625" style="3" hidden="1" customWidth="1"/>
    <col min="13" max="13" width="8" style="3" hidden="1" customWidth="1"/>
    <col min="14" max="14" width="9.44140625" style="3" customWidth="1"/>
    <col min="15" max="15" width="9" style="3" customWidth="1"/>
    <col min="16" max="16" width="9.33203125" style="3" customWidth="1"/>
    <col min="17" max="17" width="9.44140625" style="3" customWidth="1"/>
    <col min="18" max="18" width="8.6640625" style="3" customWidth="1"/>
    <col min="19" max="19" width="9.33203125" style="3" customWidth="1"/>
    <col min="20" max="20" width="9.109375" style="7"/>
    <col min="21" max="21" width="9.6640625" style="7" bestFit="1" customWidth="1"/>
    <col min="22" max="24" width="9.109375" style="7"/>
    <col min="25" max="16384" width="9.109375" style="3"/>
  </cols>
  <sheetData>
    <row r="1" spans="1:24" ht="21.75" customHeight="1" x14ac:dyDescent="0.25">
      <c r="Q1" s="448" t="s">
        <v>1132</v>
      </c>
      <c r="R1" s="448"/>
      <c r="S1" s="448"/>
    </row>
    <row r="2" spans="1:24" ht="29.25" customHeight="1" x14ac:dyDescent="0.25">
      <c r="A2" s="449" t="s">
        <v>1133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</row>
    <row r="3" spans="1:24" ht="13.8" thickBot="1" x14ac:dyDescent="0.3">
      <c r="Q3" s="258"/>
      <c r="R3" s="258"/>
      <c r="S3" s="258"/>
    </row>
    <row r="4" spans="1:24" s="1" customFormat="1" ht="27.75" customHeight="1" thickTop="1" x14ac:dyDescent="0.25">
      <c r="A4" s="450" t="s">
        <v>0</v>
      </c>
      <c r="B4" s="452" t="s">
        <v>389</v>
      </c>
      <c r="C4" s="452"/>
      <c r="D4" s="452"/>
      <c r="E4" s="452"/>
      <c r="F4" s="452"/>
      <c r="G4" s="452"/>
      <c r="H4" s="452" t="s">
        <v>390</v>
      </c>
      <c r="I4" s="452"/>
      <c r="J4" s="452"/>
      <c r="K4" s="452"/>
      <c r="L4" s="452"/>
      <c r="M4" s="452"/>
      <c r="N4" s="452" t="s">
        <v>1153</v>
      </c>
      <c r="O4" s="452"/>
      <c r="P4" s="452"/>
      <c r="Q4" s="452" t="s">
        <v>1154</v>
      </c>
      <c r="R4" s="452"/>
      <c r="S4" s="453"/>
      <c r="T4" s="7"/>
      <c r="U4" s="7"/>
      <c r="V4" s="7"/>
      <c r="W4" s="7"/>
      <c r="X4" s="7"/>
    </row>
    <row r="5" spans="1:24" s="1" customFormat="1" x14ac:dyDescent="0.25">
      <c r="A5" s="451"/>
      <c r="B5" s="444" t="s">
        <v>2</v>
      </c>
      <c r="C5" s="445" t="s">
        <v>4</v>
      </c>
      <c r="D5" s="445"/>
      <c r="E5" s="445"/>
      <c r="F5" s="445"/>
      <c r="G5" s="445"/>
      <c r="H5" s="444" t="s">
        <v>2</v>
      </c>
      <c r="I5" s="445" t="s">
        <v>4</v>
      </c>
      <c r="J5" s="445"/>
      <c r="K5" s="445"/>
      <c r="L5" s="445"/>
      <c r="M5" s="445"/>
      <c r="N5" s="446" t="s">
        <v>2</v>
      </c>
      <c r="O5" s="445" t="s">
        <v>4</v>
      </c>
      <c r="P5" s="445"/>
      <c r="Q5" s="446" t="s">
        <v>2</v>
      </c>
      <c r="R5" s="445" t="s">
        <v>4</v>
      </c>
      <c r="S5" s="459"/>
      <c r="T5" s="7"/>
      <c r="U5" s="7"/>
      <c r="V5" s="7"/>
      <c r="W5" s="7"/>
      <c r="X5" s="7"/>
    </row>
    <row r="6" spans="1:24" s="1" customFormat="1" ht="13.2" customHeight="1" x14ac:dyDescent="0.25">
      <c r="A6" s="451"/>
      <c r="B6" s="444"/>
      <c r="C6" s="444" t="s">
        <v>6</v>
      </c>
      <c r="D6" s="446" t="s">
        <v>7</v>
      </c>
      <c r="E6" s="447" t="s">
        <v>8</v>
      </c>
      <c r="F6" s="447"/>
      <c r="G6" s="447"/>
      <c r="H6" s="444"/>
      <c r="I6" s="444" t="s">
        <v>6</v>
      </c>
      <c r="J6" s="446" t="s">
        <v>7</v>
      </c>
      <c r="K6" s="447" t="s">
        <v>8</v>
      </c>
      <c r="L6" s="447"/>
      <c r="M6" s="447"/>
      <c r="N6" s="446"/>
      <c r="O6" s="446" t="s">
        <v>6</v>
      </c>
      <c r="P6" s="446" t="s">
        <v>7</v>
      </c>
      <c r="Q6" s="446"/>
      <c r="R6" s="446" t="s">
        <v>6</v>
      </c>
      <c r="S6" s="464" t="s">
        <v>7</v>
      </c>
      <c r="T6" s="7"/>
      <c r="U6" s="7"/>
      <c r="V6" s="7"/>
      <c r="W6" s="7"/>
      <c r="X6" s="7"/>
    </row>
    <row r="7" spans="1:24" s="1" customFormat="1" ht="43.2" customHeight="1" x14ac:dyDescent="0.25">
      <c r="A7" s="451"/>
      <c r="B7" s="444"/>
      <c r="C7" s="444"/>
      <c r="D7" s="446"/>
      <c r="E7" s="251" t="s">
        <v>9</v>
      </c>
      <c r="F7" s="251" t="s">
        <v>10</v>
      </c>
      <c r="G7" s="251" t="s">
        <v>11</v>
      </c>
      <c r="H7" s="444"/>
      <c r="I7" s="444"/>
      <c r="J7" s="446"/>
      <c r="K7" s="251" t="s">
        <v>9</v>
      </c>
      <c r="L7" s="251" t="s">
        <v>10</v>
      </c>
      <c r="M7" s="251" t="s">
        <v>11</v>
      </c>
      <c r="N7" s="446"/>
      <c r="O7" s="446"/>
      <c r="P7" s="446"/>
      <c r="Q7" s="446"/>
      <c r="R7" s="446"/>
      <c r="S7" s="464"/>
      <c r="T7" s="7"/>
      <c r="U7" s="7"/>
      <c r="V7" s="7"/>
      <c r="W7" s="7"/>
      <c r="X7" s="7"/>
    </row>
    <row r="8" spans="1:24" s="23" customFormat="1" ht="20.399999999999999" x14ac:dyDescent="0.25">
      <c r="A8" s="17" t="s">
        <v>13</v>
      </c>
      <c r="B8" s="18" t="s">
        <v>14</v>
      </c>
      <c r="C8" s="18" t="s">
        <v>15</v>
      </c>
      <c r="D8" s="18" t="s">
        <v>16</v>
      </c>
      <c r="E8" s="20"/>
      <c r="F8" s="20"/>
      <c r="G8" s="20"/>
      <c r="H8" s="18" t="s">
        <v>201</v>
      </c>
      <c r="I8" s="18" t="s">
        <v>211</v>
      </c>
      <c r="J8" s="18" t="s">
        <v>203</v>
      </c>
      <c r="K8" s="20"/>
      <c r="L8" s="20"/>
      <c r="M8" s="20"/>
      <c r="N8" s="20" t="s">
        <v>231</v>
      </c>
      <c r="O8" s="20" t="s">
        <v>232</v>
      </c>
      <c r="P8" s="20" t="s">
        <v>233</v>
      </c>
      <c r="Q8" s="253" t="s">
        <v>234</v>
      </c>
      <c r="R8" s="253" t="s">
        <v>235</v>
      </c>
      <c r="S8" s="259" t="s">
        <v>236</v>
      </c>
      <c r="T8" s="6"/>
      <c r="U8" s="6"/>
      <c r="V8" s="6"/>
      <c r="W8" s="6"/>
      <c r="X8" s="6"/>
    </row>
    <row r="9" spans="1:24" s="1" customFormat="1" x14ac:dyDescent="0.25">
      <c r="A9" s="252" t="s">
        <v>26</v>
      </c>
      <c r="B9" s="63"/>
      <c r="C9" s="63"/>
      <c r="D9" s="63"/>
      <c r="E9" s="63"/>
      <c r="F9" s="63"/>
      <c r="G9" s="63"/>
      <c r="H9" s="63"/>
      <c r="I9" s="63"/>
      <c r="J9" s="63"/>
      <c r="K9" s="260"/>
      <c r="L9" s="260"/>
      <c r="M9" s="260"/>
      <c r="N9" s="260"/>
      <c r="O9" s="260"/>
      <c r="P9" s="260"/>
      <c r="Q9" s="260"/>
      <c r="R9" s="260"/>
      <c r="S9" s="261"/>
      <c r="T9" s="7"/>
      <c r="U9" s="7"/>
      <c r="V9" s="7"/>
      <c r="W9" s="7"/>
      <c r="X9" s="7"/>
    </row>
    <row r="10" spans="1:24" s="42" customFormat="1" x14ac:dyDescent="0.25">
      <c r="A10" s="35" t="s">
        <v>28</v>
      </c>
      <c r="B10" s="38">
        <v>41292.48964372</v>
      </c>
      <c r="C10" s="38">
        <v>32160.847430409998</v>
      </c>
      <c r="D10" s="38">
        <v>9131.2733422500005</v>
      </c>
      <c r="E10" s="38"/>
      <c r="F10" s="38"/>
      <c r="G10" s="38"/>
      <c r="H10" s="38">
        <v>45702.720393510004</v>
      </c>
      <c r="I10" s="38">
        <v>36325.533701929999</v>
      </c>
      <c r="J10" s="38">
        <v>9377.1866915800001</v>
      </c>
      <c r="K10" s="38">
        <v>9541.3306052099997</v>
      </c>
      <c r="L10" s="38">
        <v>2178.2882684299998</v>
      </c>
      <c r="M10" s="38">
        <v>1212.4879544400001</v>
      </c>
      <c r="N10" s="38">
        <f>H10-B10</f>
        <v>4410.2307497900038</v>
      </c>
      <c r="O10" s="38">
        <f t="shared" ref="O10:P29" si="0">I10-C10</f>
        <v>4164.6862715200004</v>
      </c>
      <c r="P10" s="38">
        <f t="shared" si="0"/>
        <v>245.91334932999962</v>
      </c>
      <c r="Q10" s="38">
        <f>H10/B10%-100</f>
        <v>10.680467048226859</v>
      </c>
      <c r="R10" s="38">
        <f t="shared" ref="R10:S29" si="1">I10/C10%-100</f>
        <v>12.949553896338074</v>
      </c>
      <c r="S10" s="39">
        <f t="shared" si="1"/>
        <v>2.6930893437629351</v>
      </c>
      <c r="T10" s="68"/>
      <c r="U10" s="68"/>
      <c r="V10" s="68"/>
      <c r="W10" s="68"/>
      <c r="X10" s="68"/>
    </row>
    <row r="11" spans="1:24" x14ac:dyDescent="0.25">
      <c r="A11" s="262" t="s">
        <v>29</v>
      </c>
      <c r="B11" s="32">
        <v>8653.4476541499989</v>
      </c>
      <c r="C11" s="32">
        <v>8653.4476541499989</v>
      </c>
      <c r="D11" s="32">
        <v>0</v>
      </c>
      <c r="E11" s="32"/>
      <c r="F11" s="32"/>
      <c r="G11" s="32"/>
      <c r="H11" s="32">
        <v>10979.239752129999</v>
      </c>
      <c r="I11" s="32">
        <v>10979.239752129999</v>
      </c>
      <c r="J11" s="32">
        <v>0</v>
      </c>
      <c r="K11" s="32">
        <v>0</v>
      </c>
      <c r="L11" s="32">
        <v>0</v>
      </c>
      <c r="M11" s="32">
        <v>0</v>
      </c>
      <c r="N11" s="32">
        <f>H11-B11</f>
        <v>2325.7920979800001</v>
      </c>
      <c r="O11" s="32">
        <f t="shared" si="0"/>
        <v>2325.7920979800001</v>
      </c>
      <c r="P11" s="32">
        <f t="shared" si="0"/>
        <v>0</v>
      </c>
      <c r="Q11" s="32">
        <f>H11/B11%-100</f>
        <v>26.877057456568807</v>
      </c>
      <c r="R11" s="32">
        <f t="shared" si="1"/>
        <v>26.877057456568807</v>
      </c>
      <c r="S11" s="50" t="s">
        <v>30</v>
      </c>
    </row>
    <row r="12" spans="1:24" x14ac:dyDescent="0.25">
      <c r="A12" s="262" t="s">
        <v>31</v>
      </c>
      <c r="B12" s="32">
        <v>17097.865958729999</v>
      </c>
      <c r="C12" s="32">
        <v>11427.893260299999</v>
      </c>
      <c r="D12" s="32">
        <v>5669.9726984300005</v>
      </c>
      <c r="E12" s="32"/>
      <c r="F12" s="32"/>
      <c r="G12" s="32"/>
      <c r="H12" s="32">
        <v>18097.493595389999</v>
      </c>
      <c r="I12" s="32">
        <v>12009.14825002</v>
      </c>
      <c r="J12" s="32">
        <v>6088.3453453700013</v>
      </c>
      <c r="K12" s="32">
        <v>6000.7661295899998</v>
      </c>
      <c r="L12" s="32">
        <v>1283.85622128</v>
      </c>
      <c r="M12" s="32">
        <v>510.40473982999998</v>
      </c>
      <c r="N12" s="32">
        <f t="shared" ref="N12:P48" si="2">H12-B12</f>
        <v>999.62763665999955</v>
      </c>
      <c r="O12" s="32">
        <f t="shared" si="0"/>
        <v>581.25498972000059</v>
      </c>
      <c r="P12" s="32">
        <f t="shared" si="0"/>
        <v>418.37264694000078</v>
      </c>
      <c r="Q12" s="32">
        <f t="shared" ref="Q12:S48" si="3">H12/B12%-100</f>
        <v>5.846505283600024</v>
      </c>
      <c r="R12" s="32">
        <f t="shared" si="1"/>
        <v>5.0862829786768771</v>
      </c>
      <c r="S12" s="34">
        <f t="shared" si="1"/>
        <v>7.3787418245566982</v>
      </c>
    </row>
    <row r="13" spans="1:24" x14ac:dyDescent="0.25">
      <c r="A13" s="262" t="s">
        <v>32</v>
      </c>
      <c r="B13" s="32">
        <v>3492.7583180500001</v>
      </c>
      <c r="C13" s="32">
        <v>3230.9540312899999</v>
      </c>
      <c r="D13" s="32">
        <v>261.80428676000002</v>
      </c>
      <c r="E13" s="32"/>
      <c r="F13" s="32"/>
      <c r="G13" s="32"/>
      <c r="H13" s="32">
        <v>3349.2913365500003</v>
      </c>
      <c r="I13" s="32">
        <v>3139.5391907600001</v>
      </c>
      <c r="J13" s="32">
        <v>209.75214578999999</v>
      </c>
      <c r="K13" s="32">
        <v>30.489444859999999</v>
      </c>
      <c r="L13" s="32">
        <v>103.58877299</v>
      </c>
      <c r="M13" s="32">
        <v>146.20201930000002</v>
      </c>
      <c r="N13" s="32">
        <f t="shared" si="2"/>
        <v>-143.46698149999975</v>
      </c>
      <c r="O13" s="32">
        <f t="shared" si="0"/>
        <v>-91.414840529999765</v>
      </c>
      <c r="P13" s="32">
        <f t="shared" si="0"/>
        <v>-52.052140970000039</v>
      </c>
      <c r="Q13" s="32">
        <f t="shared" si="3"/>
        <v>-4.107555359859461</v>
      </c>
      <c r="R13" s="32">
        <f t="shared" si="1"/>
        <v>-2.8293451297882228</v>
      </c>
      <c r="S13" s="34">
        <f t="shared" si="1"/>
        <v>-19.882081234871848</v>
      </c>
    </row>
    <row r="14" spans="1:24" x14ac:dyDescent="0.25">
      <c r="A14" s="262" t="s">
        <v>441</v>
      </c>
      <c r="B14" s="32">
        <v>2723.5569056700001</v>
      </c>
      <c r="C14" s="32">
        <v>1830.85548419</v>
      </c>
      <c r="D14" s="32">
        <v>892.70142148000002</v>
      </c>
      <c r="E14" s="32"/>
      <c r="F14" s="32"/>
      <c r="G14" s="32"/>
      <c r="H14" s="32">
        <v>2990.1528236999998</v>
      </c>
      <c r="I14" s="32">
        <v>2144.1483015200001</v>
      </c>
      <c r="J14" s="32">
        <v>846.00452218000009</v>
      </c>
      <c r="K14" s="32">
        <v>820.54844204999995</v>
      </c>
      <c r="L14" s="32">
        <v>333.65806261</v>
      </c>
      <c r="M14" s="32">
        <v>18.847999600000001</v>
      </c>
      <c r="N14" s="32">
        <f t="shared" si="2"/>
        <v>266.59591802999967</v>
      </c>
      <c r="O14" s="32">
        <f t="shared" si="0"/>
        <v>313.29281733000016</v>
      </c>
      <c r="P14" s="32">
        <f t="shared" si="0"/>
        <v>-46.696899299999927</v>
      </c>
      <c r="Q14" s="32">
        <f t="shared" si="3"/>
        <v>9.7885202058745477</v>
      </c>
      <c r="R14" s="32">
        <f t="shared" si="1"/>
        <v>17.111826686233826</v>
      </c>
      <c r="S14" s="34">
        <f t="shared" si="1"/>
        <v>-5.2309650434499844</v>
      </c>
    </row>
    <row r="15" spans="1:24" s="112" customFormat="1" ht="26.4" x14ac:dyDescent="0.25">
      <c r="A15" s="263" t="s">
        <v>431</v>
      </c>
      <c r="B15" s="110">
        <v>1830.85423805</v>
      </c>
      <c r="C15" s="110">
        <v>1830.85423805</v>
      </c>
      <c r="D15" s="110">
        <v>0</v>
      </c>
      <c r="E15" s="110"/>
      <c r="F15" s="110"/>
      <c r="G15" s="110"/>
      <c r="H15" s="110">
        <v>2144.1483015200001</v>
      </c>
      <c r="I15" s="110">
        <v>2144.1483015200001</v>
      </c>
      <c r="J15" s="110">
        <v>0</v>
      </c>
      <c r="K15" s="110"/>
      <c r="L15" s="110"/>
      <c r="M15" s="110"/>
      <c r="N15" s="110">
        <f t="shared" ref="N15:N17" si="4">H15-B15</f>
        <v>313.29406347000008</v>
      </c>
      <c r="O15" s="110">
        <f t="shared" ref="O15:O17" si="5">I15-C15</f>
        <v>313.29406347000008</v>
      </c>
      <c r="P15" s="110">
        <f t="shared" ref="P15:P17" si="6">J15-D15</f>
        <v>0</v>
      </c>
      <c r="Q15" s="110">
        <f t="shared" ref="Q15:Q17" si="7">H15/B15%-100</f>
        <v>17.111906396419755</v>
      </c>
      <c r="R15" s="110">
        <f t="shared" ref="R15:R17" si="8">I15/C15%-100</f>
        <v>17.111906396419755</v>
      </c>
      <c r="S15" s="111"/>
      <c r="T15" s="367"/>
      <c r="U15" s="367"/>
      <c r="V15" s="367"/>
      <c r="W15" s="367"/>
      <c r="X15" s="367"/>
    </row>
    <row r="16" spans="1:24" s="112" customFormat="1" ht="26.4" x14ac:dyDescent="0.25">
      <c r="A16" s="263" t="s">
        <v>432</v>
      </c>
      <c r="B16" s="110">
        <v>713.14808896</v>
      </c>
      <c r="C16" s="110">
        <v>0</v>
      </c>
      <c r="D16" s="110">
        <v>713.14808896</v>
      </c>
      <c r="E16" s="110"/>
      <c r="F16" s="110"/>
      <c r="G16" s="110"/>
      <c r="H16" s="110">
        <v>705.03014538000002</v>
      </c>
      <c r="I16" s="110">
        <v>0</v>
      </c>
      <c r="J16" s="110">
        <v>705.03014538000002</v>
      </c>
      <c r="K16" s="110"/>
      <c r="L16" s="110"/>
      <c r="M16" s="110"/>
      <c r="N16" s="110">
        <f t="shared" si="4"/>
        <v>-8.1179435799999737</v>
      </c>
      <c r="O16" s="110">
        <f t="shared" si="5"/>
        <v>0</v>
      </c>
      <c r="P16" s="110">
        <f t="shared" si="6"/>
        <v>-8.1179435799999737</v>
      </c>
      <c r="Q16" s="110">
        <f t="shared" si="7"/>
        <v>-1.1383250836216234</v>
      </c>
      <c r="R16" s="110"/>
      <c r="S16" s="111">
        <f t="shared" ref="S16:S17" si="9">J16/D16%-100</f>
        <v>-1.1383250836216234</v>
      </c>
      <c r="T16" s="367"/>
      <c r="U16" s="367"/>
      <c r="V16" s="367"/>
      <c r="W16" s="367"/>
      <c r="X16" s="367"/>
    </row>
    <row r="17" spans="1:24" s="112" customFormat="1" x14ac:dyDescent="0.25">
      <c r="A17" s="263" t="s">
        <v>430</v>
      </c>
      <c r="B17" s="110">
        <v>165.82066965000001</v>
      </c>
      <c r="C17" s="110">
        <v>1.2461400000000002E-3</v>
      </c>
      <c r="D17" s="110">
        <v>165.81942351000001</v>
      </c>
      <c r="E17" s="110"/>
      <c r="F17" s="110"/>
      <c r="G17" s="110"/>
      <c r="H17" s="110">
        <v>122.72161792</v>
      </c>
      <c r="I17" s="110">
        <v>0</v>
      </c>
      <c r="J17" s="110">
        <v>122.72161792</v>
      </c>
      <c r="K17" s="110"/>
      <c r="L17" s="110"/>
      <c r="M17" s="110"/>
      <c r="N17" s="110">
        <f t="shared" si="4"/>
        <v>-43.099051730000014</v>
      </c>
      <c r="O17" s="110">
        <f t="shared" si="5"/>
        <v>-1.2461400000000002E-3</v>
      </c>
      <c r="P17" s="110">
        <f t="shared" si="6"/>
        <v>-43.097805590000007</v>
      </c>
      <c r="Q17" s="110">
        <f t="shared" si="7"/>
        <v>-25.991362729971954</v>
      </c>
      <c r="R17" s="110">
        <f t="shared" si="8"/>
        <v>-100</v>
      </c>
      <c r="S17" s="111">
        <f t="shared" si="9"/>
        <v>-25.990806551924194</v>
      </c>
      <c r="T17" s="367"/>
      <c r="U17" s="367"/>
      <c r="V17" s="367"/>
      <c r="W17" s="367"/>
      <c r="X17" s="367"/>
    </row>
    <row r="18" spans="1:24" s="112" customFormat="1" ht="26.4" x14ac:dyDescent="0.25">
      <c r="A18" s="263" t="s">
        <v>433</v>
      </c>
      <c r="B18" s="110">
        <v>13.73390901</v>
      </c>
      <c r="C18" s="110">
        <v>0</v>
      </c>
      <c r="D18" s="110">
        <v>13.733909010000001</v>
      </c>
      <c r="E18" s="110"/>
      <c r="F18" s="110"/>
      <c r="G18" s="110"/>
      <c r="H18" s="110">
        <v>18.252758879999998</v>
      </c>
      <c r="I18" s="110">
        <v>0</v>
      </c>
      <c r="J18" s="110">
        <v>18.252758879999998</v>
      </c>
      <c r="K18" s="110"/>
      <c r="L18" s="110"/>
      <c r="M18" s="110"/>
      <c r="N18" s="110">
        <f t="shared" ref="N18" si="10">H18-B18</f>
        <v>4.5188498699999986</v>
      </c>
      <c r="O18" s="110">
        <f t="shared" ref="O18" si="11">I18-C18</f>
        <v>0</v>
      </c>
      <c r="P18" s="110">
        <f t="shared" ref="P18" si="12">J18-D18</f>
        <v>4.5188498699999968</v>
      </c>
      <c r="Q18" s="110">
        <f t="shared" ref="Q18" si="13">H18/B18%-100</f>
        <v>32.902867397109674</v>
      </c>
      <c r="R18" s="110"/>
      <c r="S18" s="111">
        <f t="shared" ref="S18" si="14">J18/D18%-100</f>
        <v>32.902867397109674</v>
      </c>
      <c r="T18" s="367"/>
      <c r="U18" s="367"/>
      <c r="V18" s="367"/>
      <c r="W18" s="367"/>
      <c r="X18" s="367"/>
    </row>
    <row r="19" spans="1:24" x14ac:dyDescent="0.25">
      <c r="A19" s="262" t="s">
        <v>237</v>
      </c>
      <c r="B19" s="32">
        <v>4847.7992250699999</v>
      </c>
      <c r="C19" s="32">
        <v>4398.0423061299998</v>
      </c>
      <c r="D19" s="32">
        <v>449.75691893999999</v>
      </c>
      <c r="E19" s="32"/>
      <c r="F19" s="32"/>
      <c r="G19" s="32"/>
      <c r="H19" s="32">
        <v>5699.3582677100003</v>
      </c>
      <c r="I19" s="32">
        <v>5253.8655132799995</v>
      </c>
      <c r="J19" s="32">
        <v>445.49275442999993</v>
      </c>
      <c r="K19" s="32">
        <v>616.69298838999998</v>
      </c>
      <c r="L19" s="32">
        <v>1.0525199999999999E-3</v>
      </c>
      <c r="M19" s="32">
        <v>235.05709336000001</v>
      </c>
      <c r="N19" s="32">
        <f t="shared" si="2"/>
        <v>851.55904264000037</v>
      </c>
      <c r="O19" s="32">
        <f t="shared" si="0"/>
        <v>855.82320714999969</v>
      </c>
      <c r="P19" s="32">
        <f t="shared" si="0"/>
        <v>-4.2641645100000574</v>
      </c>
      <c r="Q19" s="32">
        <f t="shared" si="3"/>
        <v>17.565889243849711</v>
      </c>
      <c r="R19" s="32">
        <f t="shared" si="1"/>
        <v>19.459185418865829</v>
      </c>
      <c r="S19" s="34">
        <f>J19/D19%-100</f>
        <v>-0.94810426041915719</v>
      </c>
    </row>
    <row r="20" spans="1:24" s="112" customFormat="1" x14ac:dyDescent="0.25">
      <c r="A20" s="263" t="s">
        <v>238</v>
      </c>
      <c r="B20" s="264">
        <f>12353414.79/1000000</f>
        <v>12.353414789999999</v>
      </c>
      <c r="C20" s="264">
        <v>0</v>
      </c>
      <c r="D20" s="110">
        <v>12.353414789999999</v>
      </c>
      <c r="E20" s="110"/>
      <c r="F20" s="110"/>
      <c r="G20" s="110"/>
      <c r="H20" s="264">
        <v>23.501282789999998</v>
      </c>
      <c r="I20" s="264">
        <v>0</v>
      </c>
      <c r="J20" s="264">
        <v>23.501282789999998</v>
      </c>
      <c r="K20" s="110">
        <v>97.985962709999995</v>
      </c>
      <c r="L20" s="110">
        <v>5.2520000000000005E-5</v>
      </c>
      <c r="M20" s="110">
        <v>27.377498920000001</v>
      </c>
      <c r="N20" s="110">
        <f>H20-B20</f>
        <v>11.147867999999999</v>
      </c>
      <c r="O20" s="110">
        <f t="shared" si="0"/>
        <v>0</v>
      </c>
      <c r="P20" s="110">
        <f t="shared" si="0"/>
        <v>11.147867999999999</v>
      </c>
      <c r="Q20" s="110">
        <f t="shared" si="3"/>
        <v>90.24118585432845</v>
      </c>
      <c r="R20" s="54" t="s">
        <v>30</v>
      </c>
      <c r="S20" s="111">
        <f t="shared" si="1"/>
        <v>90.24118585432845</v>
      </c>
      <c r="T20" s="367"/>
      <c r="U20" s="367"/>
      <c r="V20" s="367"/>
      <c r="W20" s="367"/>
      <c r="X20" s="367"/>
    </row>
    <row r="21" spans="1:24" s="112" customFormat="1" x14ac:dyDescent="0.25">
      <c r="A21" s="263" t="s">
        <v>239</v>
      </c>
      <c r="B21" s="110">
        <f>4131186842.79/1000000</f>
        <v>4131.1868427899999</v>
      </c>
      <c r="C21" s="110">
        <v>4131.1868427899999</v>
      </c>
      <c r="D21" s="110">
        <v>0</v>
      </c>
      <c r="E21" s="110"/>
      <c r="F21" s="110"/>
      <c r="G21" s="110"/>
      <c r="H21" s="264">
        <v>4916.15516131</v>
      </c>
      <c r="I21" s="264">
        <v>4916.15516131</v>
      </c>
      <c r="J21" s="264">
        <v>0</v>
      </c>
      <c r="K21" s="110"/>
      <c r="L21" s="110"/>
      <c r="M21" s="110"/>
      <c r="N21" s="110">
        <f t="shared" si="2"/>
        <v>784.96831852000014</v>
      </c>
      <c r="O21" s="110">
        <f t="shared" si="0"/>
        <v>784.96831852000014</v>
      </c>
      <c r="P21" s="110">
        <f t="shared" si="0"/>
        <v>0</v>
      </c>
      <c r="Q21" s="110">
        <f t="shared" si="3"/>
        <v>19.001036467037906</v>
      </c>
      <c r="R21" s="110">
        <f t="shared" si="1"/>
        <v>19.001036467037906</v>
      </c>
      <c r="S21" s="265" t="s">
        <v>30</v>
      </c>
      <c r="T21" s="367"/>
      <c r="U21" s="367"/>
      <c r="V21" s="367"/>
      <c r="W21" s="367"/>
      <c r="X21" s="367"/>
    </row>
    <row r="22" spans="1:24" s="112" customFormat="1" x14ac:dyDescent="0.25">
      <c r="A22" s="263" t="s">
        <v>240</v>
      </c>
      <c r="B22" s="110">
        <f>265903417.4/1000000</f>
        <v>265.90341740000002</v>
      </c>
      <c r="C22" s="110">
        <v>265.90341740000002</v>
      </c>
      <c r="D22" s="110">
        <v>0</v>
      </c>
      <c r="E22" s="110"/>
      <c r="F22" s="110"/>
      <c r="G22" s="110"/>
      <c r="H22" s="264">
        <v>336.59933000000001</v>
      </c>
      <c r="I22" s="264">
        <v>336.59933000000001</v>
      </c>
      <c r="J22" s="264">
        <v>0</v>
      </c>
      <c r="K22" s="110"/>
      <c r="L22" s="110"/>
      <c r="M22" s="110"/>
      <c r="N22" s="110">
        <f t="shared" si="2"/>
        <v>70.695912599999986</v>
      </c>
      <c r="O22" s="110">
        <f t="shared" si="0"/>
        <v>70.695912599999986</v>
      </c>
      <c r="P22" s="110">
        <f t="shared" si="0"/>
        <v>0</v>
      </c>
      <c r="Q22" s="110">
        <f t="shared" si="3"/>
        <v>26.587064315029735</v>
      </c>
      <c r="R22" s="110">
        <f t="shared" si="1"/>
        <v>26.587064315029735</v>
      </c>
      <c r="S22" s="265" t="s">
        <v>30</v>
      </c>
      <c r="T22" s="367"/>
      <c r="U22" s="367"/>
      <c r="V22" s="367"/>
      <c r="W22" s="367"/>
      <c r="X22" s="367"/>
    </row>
    <row r="23" spans="1:24" s="112" customFormat="1" x14ac:dyDescent="0.25">
      <c r="A23" s="263" t="s">
        <v>241</v>
      </c>
      <c r="B23" s="264">
        <f>437403504.15/1000000</f>
        <v>437.40350415</v>
      </c>
      <c r="C23" s="264">
        <v>0</v>
      </c>
      <c r="D23" s="110">
        <v>437.40350415</v>
      </c>
      <c r="E23" s="110"/>
      <c r="F23" s="110"/>
      <c r="G23" s="110"/>
      <c r="H23" s="264">
        <v>421.99147163999999</v>
      </c>
      <c r="I23" s="264">
        <v>0</v>
      </c>
      <c r="J23" s="264">
        <v>421.99147163999999</v>
      </c>
      <c r="K23" s="110">
        <v>518.70702568000002</v>
      </c>
      <c r="L23" s="110">
        <v>1E-3</v>
      </c>
      <c r="M23" s="110">
        <v>207.67959443999999</v>
      </c>
      <c r="N23" s="110">
        <f t="shared" si="2"/>
        <v>-15.412032510000017</v>
      </c>
      <c r="O23" s="110">
        <f t="shared" si="0"/>
        <v>0</v>
      </c>
      <c r="P23" s="110">
        <f t="shared" si="0"/>
        <v>-15.412032510000017</v>
      </c>
      <c r="Q23" s="110">
        <f t="shared" si="3"/>
        <v>-3.5235274440587716</v>
      </c>
      <c r="R23" s="187" t="s">
        <v>30</v>
      </c>
      <c r="S23" s="111">
        <f t="shared" si="1"/>
        <v>-3.5235274440587716</v>
      </c>
      <c r="T23" s="367"/>
      <c r="U23" s="367"/>
      <c r="V23" s="367"/>
      <c r="W23" s="367"/>
      <c r="X23" s="367"/>
    </row>
    <row r="24" spans="1:24" ht="26.4" x14ac:dyDescent="0.25">
      <c r="A24" s="262" t="s">
        <v>242</v>
      </c>
      <c r="B24" s="32">
        <v>1675.2321551300001</v>
      </c>
      <c r="C24" s="32">
        <v>1675.2321551300001</v>
      </c>
      <c r="D24" s="32">
        <v>0</v>
      </c>
      <c r="E24" s="32"/>
      <c r="F24" s="32"/>
      <c r="G24" s="32"/>
      <c r="H24" s="32">
        <v>1811.3505678800002</v>
      </c>
      <c r="I24" s="32">
        <v>1811.3505678800002</v>
      </c>
      <c r="J24" s="32">
        <v>0</v>
      </c>
      <c r="K24" s="32">
        <v>0</v>
      </c>
      <c r="L24" s="32">
        <v>0</v>
      </c>
      <c r="M24" s="32">
        <v>0</v>
      </c>
      <c r="N24" s="32">
        <f t="shared" si="2"/>
        <v>136.11841275000006</v>
      </c>
      <c r="O24" s="32">
        <f t="shared" si="0"/>
        <v>136.11841275000006</v>
      </c>
      <c r="P24" s="32">
        <f t="shared" si="0"/>
        <v>0</v>
      </c>
      <c r="Q24" s="32">
        <f t="shared" si="3"/>
        <v>8.125346229367068</v>
      </c>
      <c r="R24" s="32">
        <f t="shared" si="1"/>
        <v>8.125346229367068</v>
      </c>
      <c r="S24" s="111" t="s">
        <v>30</v>
      </c>
    </row>
    <row r="25" spans="1:24" s="112" customFormat="1" ht="26.4" x14ac:dyDescent="0.25">
      <c r="A25" s="263" t="s">
        <v>243</v>
      </c>
      <c r="B25" s="264">
        <f>1538050796/1000000</f>
        <v>1538.050796</v>
      </c>
      <c r="C25" s="264">
        <v>1538.050796</v>
      </c>
      <c r="D25" s="110">
        <v>0</v>
      </c>
      <c r="E25" s="110"/>
      <c r="F25" s="110"/>
      <c r="G25" s="110"/>
      <c r="H25" s="264">
        <v>1668.967161</v>
      </c>
      <c r="I25" s="264">
        <v>1668.967161</v>
      </c>
      <c r="J25" s="264">
        <v>0</v>
      </c>
      <c r="K25" s="110"/>
      <c r="L25" s="110"/>
      <c r="M25" s="110"/>
      <c r="N25" s="110">
        <f t="shared" si="2"/>
        <v>130.91636500000004</v>
      </c>
      <c r="O25" s="110">
        <f t="shared" si="0"/>
        <v>130.91636500000004</v>
      </c>
      <c r="P25" s="110">
        <f t="shared" si="0"/>
        <v>0</v>
      </c>
      <c r="Q25" s="110">
        <f t="shared" si="3"/>
        <v>8.5118362371693763</v>
      </c>
      <c r="R25" s="110">
        <f t="shared" si="1"/>
        <v>8.5118362371693763</v>
      </c>
      <c r="S25" s="265" t="s">
        <v>30</v>
      </c>
      <c r="T25" s="367"/>
      <c r="U25" s="367"/>
      <c r="V25" s="367"/>
      <c r="W25" s="367"/>
      <c r="X25" s="367"/>
    </row>
    <row r="26" spans="1:24" x14ac:dyDescent="0.25">
      <c r="A26" s="262" t="s">
        <v>36</v>
      </c>
      <c r="B26" s="32">
        <v>252.75324752</v>
      </c>
      <c r="C26" s="32">
        <v>109.86740161</v>
      </c>
      <c r="D26" s="32">
        <v>142.88584591</v>
      </c>
      <c r="E26" s="32"/>
      <c r="F26" s="32"/>
      <c r="G26" s="32"/>
      <c r="H26" s="32">
        <v>249.76673538</v>
      </c>
      <c r="I26" s="32">
        <v>115.21657671999999</v>
      </c>
      <c r="J26" s="32">
        <v>134.55015865999999</v>
      </c>
      <c r="K26" s="32">
        <v>145.56005133000002</v>
      </c>
      <c r="L26" s="32">
        <v>39.89364939</v>
      </c>
      <c r="M26" s="32">
        <v>4.0784915699999997</v>
      </c>
      <c r="N26" s="32">
        <f t="shared" si="2"/>
        <v>-2.9865121400000021</v>
      </c>
      <c r="O26" s="32">
        <f t="shared" si="0"/>
        <v>5.3491751099999902</v>
      </c>
      <c r="P26" s="32">
        <f t="shared" si="0"/>
        <v>-8.3356872500000065</v>
      </c>
      <c r="Q26" s="32">
        <f t="shared" si="3"/>
        <v>-1.1815919950795859</v>
      </c>
      <c r="R26" s="32">
        <f t="shared" si="1"/>
        <v>4.868755455770355</v>
      </c>
      <c r="S26" s="34">
        <f t="shared" si="1"/>
        <v>-5.8338089381158369</v>
      </c>
    </row>
    <row r="27" spans="1:24" ht="26.4" x14ac:dyDescent="0.25">
      <c r="A27" s="262" t="s">
        <v>37</v>
      </c>
      <c r="B27" s="32">
        <v>6.3177440000000001E-2</v>
      </c>
      <c r="C27" s="32">
        <v>3.2417729999999999E-2</v>
      </c>
      <c r="D27" s="32">
        <v>3.0759710000000003E-2</v>
      </c>
      <c r="E27" s="32"/>
      <c r="F27" s="32"/>
      <c r="G27" s="32"/>
      <c r="H27" s="32">
        <v>0.18230679999999999</v>
      </c>
      <c r="I27" s="32">
        <v>1.6781339999999999E-2</v>
      </c>
      <c r="J27" s="32">
        <v>0.16552545999999999</v>
      </c>
      <c r="K27" s="32">
        <v>-6.8984899999999988E-2</v>
      </c>
      <c r="L27" s="32">
        <v>0.16786114000000002</v>
      </c>
      <c r="M27" s="32">
        <v>1.866203E-2</v>
      </c>
      <c r="N27" s="32">
        <f t="shared" si="2"/>
        <v>0.11912935999999999</v>
      </c>
      <c r="O27" s="32">
        <f t="shared" si="0"/>
        <v>-1.563639E-2</v>
      </c>
      <c r="P27" s="32">
        <f t="shared" si="0"/>
        <v>0.13476574999999999</v>
      </c>
      <c r="Q27" s="32">
        <f t="shared" si="3"/>
        <v>188.56313266254534</v>
      </c>
      <c r="R27" s="32">
        <f t="shared" si="1"/>
        <v>-48.234068208970832</v>
      </c>
      <c r="S27" s="34">
        <f t="shared" si="1"/>
        <v>438.12425409732396</v>
      </c>
    </row>
    <row r="28" spans="1:24" ht="39.6" x14ac:dyDescent="0.25">
      <c r="A28" s="262" t="s">
        <v>38</v>
      </c>
      <c r="B28" s="32">
        <v>801.59512691999998</v>
      </c>
      <c r="C28" s="32">
        <v>41.571278469999996</v>
      </c>
      <c r="D28" s="32">
        <v>760.02384844999995</v>
      </c>
      <c r="E28" s="32"/>
      <c r="F28" s="32"/>
      <c r="G28" s="32"/>
      <c r="H28" s="32">
        <v>849.17847460999997</v>
      </c>
      <c r="I28" s="32">
        <v>64.847349640000004</v>
      </c>
      <c r="J28" s="32">
        <v>784.33112497000002</v>
      </c>
      <c r="K28" s="32">
        <v>889.92551114000003</v>
      </c>
      <c r="L28" s="32">
        <v>202.02694713999998</v>
      </c>
      <c r="M28" s="32">
        <v>165.33806622999998</v>
      </c>
      <c r="N28" s="32">
        <f t="shared" si="2"/>
        <v>47.583347689999982</v>
      </c>
      <c r="O28" s="32">
        <f t="shared" si="0"/>
        <v>23.276071170000009</v>
      </c>
      <c r="P28" s="32">
        <f t="shared" si="0"/>
        <v>24.307276520000073</v>
      </c>
      <c r="Q28" s="32">
        <f t="shared" si="3"/>
        <v>5.9360824550956579</v>
      </c>
      <c r="R28" s="32">
        <f t="shared" si="1"/>
        <v>55.990751371279657</v>
      </c>
      <c r="S28" s="34">
        <f t="shared" si="1"/>
        <v>3.1982254990514605</v>
      </c>
      <c r="T28" s="7">
        <f>J28/J50%</f>
        <v>47.45250165354804</v>
      </c>
    </row>
    <row r="29" spans="1:24" ht="26.4" x14ac:dyDescent="0.25">
      <c r="A29" s="262" t="s">
        <v>244</v>
      </c>
      <c r="B29" s="32">
        <v>652.94850692</v>
      </c>
      <c r="C29" s="32">
        <v>480.04510742000002</v>
      </c>
      <c r="D29" s="32">
        <v>172.90339950000001</v>
      </c>
      <c r="E29" s="32"/>
      <c r="F29" s="32"/>
      <c r="G29" s="32"/>
      <c r="H29" s="32">
        <v>445.37482158999995</v>
      </c>
      <c r="I29" s="32">
        <v>393.53963227999998</v>
      </c>
      <c r="J29" s="32">
        <v>51.835189310000004</v>
      </c>
      <c r="K29" s="32">
        <v>91.111124140000001</v>
      </c>
      <c r="L29" s="32">
        <v>42.880357170000003</v>
      </c>
      <c r="M29" s="32">
        <v>0</v>
      </c>
      <c r="N29" s="32">
        <f t="shared" si="2"/>
        <v>-207.57368533000005</v>
      </c>
      <c r="O29" s="32">
        <f t="shared" si="0"/>
        <v>-86.505475140000044</v>
      </c>
      <c r="P29" s="32">
        <f t="shared" si="0"/>
        <v>-121.06821019</v>
      </c>
      <c r="Q29" s="32">
        <f t="shared" si="3"/>
        <v>-31.790207517149923</v>
      </c>
      <c r="R29" s="32">
        <f t="shared" si="1"/>
        <v>-18.020280553409521</v>
      </c>
      <c r="S29" s="34">
        <f t="shared" si="1"/>
        <v>-70.020722866122711</v>
      </c>
    </row>
    <row r="30" spans="1:24" s="112" customFormat="1" ht="26.4" x14ac:dyDescent="0.25">
      <c r="A30" s="263" t="s">
        <v>245</v>
      </c>
      <c r="B30" s="110">
        <f>298651324.78/1000000</f>
        <v>298.65132477999998</v>
      </c>
      <c r="C30" s="110">
        <f>125747925.28/1000000</f>
        <v>125.74792528</v>
      </c>
      <c r="D30" s="110">
        <f>172903399.5/1000000</f>
        <v>172.90339950000001</v>
      </c>
      <c r="E30" s="110"/>
      <c r="F30" s="110"/>
      <c r="G30" s="110"/>
      <c r="H30" s="264">
        <v>89.533508260000005</v>
      </c>
      <c r="I30" s="264">
        <v>37.698318950000001</v>
      </c>
      <c r="J30" s="264">
        <v>51.835189310000004</v>
      </c>
      <c r="K30" s="110">
        <v>91.111124140000001</v>
      </c>
      <c r="L30" s="110">
        <v>42.880357170000003</v>
      </c>
      <c r="M30" s="110">
        <v>0</v>
      </c>
      <c r="N30" s="110">
        <f t="shared" si="2"/>
        <v>-209.11781651999996</v>
      </c>
      <c r="O30" s="110">
        <f t="shared" si="2"/>
        <v>-88.049606330000003</v>
      </c>
      <c r="P30" s="110">
        <f t="shared" si="2"/>
        <v>-121.06821019</v>
      </c>
      <c r="Q30" s="110">
        <f t="shared" si="3"/>
        <v>-70.020722886143432</v>
      </c>
      <c r="R30" s="110">
        <f t="shared" si="3"/>
        <v>-70.020722913671918</v>
      </c>
      <c r="S30" s="111">
        <f t="shared" si="3"/>
        <v>-70.020722866122711</v>
      </c>
      <c r="T30" s="367"/>
      <c r="U30" s="367"/>
      <c r="V30" s="367"/>
      <c r="W30" s="367"/>
      <c r="X30" s="367"/>
    </row>
    <row r="31" spans="1:24" s="112" customFormat="1" x14ac:dyDescent="0.25">
      <c r="A31" s="263" t="s">
        <v>246</v>
      </c>
      <c r="B31" s="110">
        <f>60300826.57/1000000</f>
        <v>60.300826569999998</v>
      </c>
      <c r="C31" s="110">
        <v>60.300826569999998</v>
      </c>
      <c r="D31" s="110">
        <v>0</v>
      </c>
      <c r="E31" s="110"/>
      <c r="F31" s="110"/>
      <c r="G31" s="110"/>
      <c r="H31" s="264">
        <v>15.119379369999999</v>
      </c>
      <c r="I31" s="264">
        <v>15.119379369999999</v>
      </c>
      <c r="J31" s="264">
        <v>0</v>
      </c>
      <c r="K31" s="110"/>
      <c r="L31" s="110"/>
      <c r="M31" s="110"/>
      <c r="N31" s="110">
        <f t="shared" si="2"/>
        <v>-45.181447200000001</v>
      </c>
      <c r="O31" s="110">
        <f t="shared" si="2"/>
        <v>-45.181447200000001</v>
      </c>
      <c r="P31" s="110">
        <f t="shared" si="2"/>
        <v>0</v>
      </c>
      <c r="Q31" s="110">
        <f t="shared" ref="Q31" si="15">H31/B31%-100</f>
        <v>-74.926746066326771</v>
      </c>
      <c r="R31" s="110">
        <f t="shared" ref="R31" si="16">I31/C31%-100</f>
        <v>-74.926746066326771</v>
      </c>
      <c r="S31" s="265" t="s">
        <v>30</v>
      </c>
      <c r="T31" s="367"/>
      <c r="U31" s="367"/>
      <c r="V31" s="367"/>
      <c r="W31" s="367"/>
      <c r="X31" s="367"/>
    </row>
    <row r="32" spans="1:24" s="112" customFormat="1" x14ac:dyDescent="0.25">
      <c r="A32" s="263" t="s">
        <v>247</v>
      </c>
      <c r="B32" s="110">
        <f>293996355.57/1000000</f>
        <v>293.99635556999999</v>
      </c>
      <c r="C32" s="110">
        <v>293.99635556999999</v>
      </c>
      <c r="D32" s="110">
        <v>0</v>
      </c>
      <c r="E32" s="110"/>
      <c r="F32" s="110"/>
      <c r="G32" s="110"/>
      <c r="H32" s="264">
        <v>340.72193396</v>
      </c>
      <c r="I32" s="264">
        <v>340.72193396</v>
      </c>
      <c r="J32" s="264">
        <v>0</v>
      </c>
      <c r="K32" s="110"/>
      <c r="L32" s="110"/>
      <c r="M32" s="110"/>
      <c r="N32" s="110">
        <f t="shared" si="2"/>
        <v>46.72557839000001</v>
      </c>
      <c r="O32" s="110">
        <f t="shared" si="2"/>
        <v>46.72557839000001</v>
      </c>
      <c r="P32" s="110">
        <f t="shared" si="2"/>
        <v>0</v>
      </c>
      <c r="Q32" s="110">
        <f t="shared" si="3"/>
        <v>15.89325088721202</v>
      </c>
      <c r="R32" s="110">
        <f t="shared" si="3"/>
        <v>15.89325088721202</v>
      </c>
      <c r="S32" s="265" t="s">
        <v>30</v>
      </c>
      <c r="T32" s="367"/>
      <c r="U32" s="367"/>
      <c r="V32" s="367"/>
      <c r="W32" s="367"/>
      <c r="X32" s="367"/>
    </row>
    <row r="33" spans="1:24" ht="26.4" x14ac:dyDescent="0.25">
      <c r="A33" s="262" t="s">
        <v>442</v>
      </c>
      <c r="B33" s="32">
        <v>131.92963997999999</v>
      </c>
      <c r="C33" s="32">
        <v>31.58355122</v>
      </c>
      <c r="D33" s="32">
        <v>100.34608876</v>
      </c>
      <c r="E33" s="32"/>
      <c r="F33" s="32"/>
      <c r="G33" s="32"/>
      <c r="H33" s="32">
        <v>251.90438659999998</v>
      </c>
      <c r="I33" s="32">
        <v>135.14717816000001</v>
      </c>
      <c r="J33" s="32">
        <v>116.75720844</v>
      </c>
      <c r="K33" s="32">
        <v>58.120725200000003</v>
      </c>
      <c r="L33" s="32">
        <v>15.113301570000001</v>
      </c>
      <c r="M33" s="32">
        <v>50.030786249999998</v>
      </c>
      <c r="N33" s="32">
        <f t="shared" si="2"/>
        <v>119.97474661999999</v>
      </c>
      <c r="O33" s="32">
        <f t="shared" si="2"/>
        <v>103.56362694000001</v>
      </c>
      <c r="P33" s="32">
        <f>J33-D33</f>
        <v>16.411119679999999</v>
      </c>
      <c r="Q33" s="32">
        <f t="shared" si="3"/>
        <v>90.938432514624992</v>
      </c>
      <c r="R33" s="32">
        <f t="shared" si="3"/>
        <v>327.90368068052862</v>
      </c>
      <c r="S33" s="34">
        <f t="shared" si="3"/>
        <v>16.354518529616882</v>
      </c>
    </row>
    <row r="34" spans="1:24" s="112" customFormat="1" x14ac:dyDescent="0.25">
      <c r="A34" s="263" t="s">
        <v>248</v>
      </c>
      <c r="B34" s="110">
        <f>65993300.67/1000000</f>
        <v>65.993300669999996</v>
      </c>
      <c r="C34" s="110">
        <f>1357001.67/1000000</f>
        <v>1.3570016699999998</v>
      </c>
      <c r="D34" s="110">
        <f>64636299/1000000</f>
        <v>64.636298999999994</v>
      </c>
      <c r="E34" s="110"/>
      <c r="F34" s="110"/>
      <c r="G34" s="110"/>
      <c r="H34" s="264">
        <v>58.883828999999999</v>
      </c>
      <c r="I34" s="264">
        <v>1.6799846000000001</v>
      </c>
      <c r="J34" s="264">
        <v>57.203844400000001</v>
      </c>
      <c r="K34" s="110">
        <v>30.575795660000001</v>
      </c>
      <c r="L34" s="110">
        <v>2.898279</v>
      </c>
      <c r="M34" s="110">
        <v>17.471884020000001</v>
      </c>
      <c r="N34" s="110">
        <f t="shared" si="2"/>
        <v>-7.1094716699999978</v>
      </c>
      <c r="O34" s="110">
        <f t="shared" si="2"/>
        <v>0.32298293000000022</v>
      </c>
      <c r="P34" s="110">
        <f>J34-D34</f>
        <v>-7.4324545999999927</v>
      </c>
      <c r="Q34" s="110">
        <f t="shared" si="3"/>
        <v>-10.773020288151628</v>
      </c>
      <c r="R34" s="110">
        <f t="shared" si="3"/>
        <v>23.801218313902325</v>
      </c>
      <c r="S34" s="111">
        <f t="shared" si="3"/>
        <v>-11.498886407465861</v>
      </c>
      <c r="T34" s="367"/>
      <c r="U34" s="367"/>
      <c r="V34" s="367"/>
      <c r="W34" s="367"/>
      <c r="X34" s="367"/>
    </row>
    <row r="35" spans="1:24" s="112" customFormat="1" x14ac:dyDescent="0.25">
      <c r="A35" s="263" t="s">
        <v>249</v>
      </c>
      <c r="B35" s="110">
        <f>65936339.31/1000000</f>
        <v>65.936339310000008</v>
      </c>
      <c r="C35" s="110">
        <f>30226549.55/1000000</f>
        <v>30.226549550000001</v>
      </c>
      <c r="D35" s="110">
        <f>35709789.76/1000000</f>
        <v>35.70978976</v>
      </c>
      <c r="E35" s="110"/>
      <c r="F35" s="110"/>
      <c r="G35" s="110"/>
      <c r="H35" s="264">
        <v>178.61045084</v>
      </c>
      <c r="I35" s="264">
        <v>131.26027243000001</v>
      </c>
      <c r="J35" s="264">
        <v>47.350178409999998</v>
      </c>
      <c r="K35" s="110">
        <v>26.487430839999998</v>
      </c>
      <c r="L35" s="110">
        <v>9.3435754399999986</v>
      </c>
      <c r="M35" s="110">
        <v>13.7852111</v>
      </c>
      <c r="N35" s="110">
        <f t="shared" si="2"/>
        <v>112.67411152999999</v>
      </c>
      <c r="O35" s="110">
        <f t="shared" si="2"/>
        <v>101.03372288000001</v>
      </c>
      <c r="P35" s="110">
        <f>J35-D35</f>
        <v>11.640388649999998</v>
      </c>
      <c r="Q35" s="110">
        <f t="shared" si="3"/>
        <v>170.88317718134476</v>
      </c>
      <c r="R35" s="110">
        <f t="shared" si="3"/>
        <v>334.2548996962837</v>
      </c>
      <c r="S35" s="111">
        <f t="shared" si="3"/>
        <v>32.59719177355359</v>
      </c>
      <c r="T35" s="367"/>
      <c r="U35" s="367"/>
      <c r="V35" s="367"/>
      <c r="W35" s="367"/>
      <c r="X35" s="367"/>
    </row>
    <row r="36" spans="1:24" x14ac:dyDescent="0.25">
      <c r="A36" s="262" t="s">
        <v>41</v>
      </c>
      <c r="B36" s="32">
        <v>523.59169108000003</v>
      </c>
      <c r="C36" s="32">
        <v>1.41426582</v>
      </c>
      <c r="D36" s="32">
        <v>522.17742526000006</v>
      </c>
      <c r="E36" s="32"/>
      <c r="F36" s="32"/>
      <c r="G36" s="32"/>
      <c r="H36" s="32">
        <v>557.37084608000009</v>
      </c>
      <c r="I36" s="32">
        <v>3.4709726700000001</v>
      </c>
      <c r="J36" s="32">
        <v>553.89987340999994</v>
      </c>
      <c r="K36" s="32">
        <v>745.93770970000003</v>
      </c>
      <c r="L36" s="32">
        <v>117.74537706</v>
      </c>
      <c r="M36" s="32">
        <v>67.538476900000006</v>
      </c>
      <c r="N36" s="32">
        <f t="shared" si="2"/>
        <v>33.77915500000006</v>
      </c>
      <c r="O36" s="32">
        <f t="shared" si="2"/>
        <v>2.0567068500000003</v>
      </c>
      <c r="P36" s="32">
        <f t="shared" si="2"/>
        <v>31.722448149999877</v>
      </c>
      <c r="Q36" s="32">
        <f t="shared" si="3"/>
        <v>6.4514306807131732</v>
      </c>
      <c r="R36" s="32">
        <f t="shared" si="3"/>
        <v>145.42576232239</v>
      </c>
      <c r="S36" s="34">
        <f t="shared" si="3"/>
        <v>6.0750324727662814</v>
      </c>
      <c r="T36" s="7">
        <f>J36/J50%</f>
        <v>33.511273264711264</v>
      </c>
      <c r="U36" s="7">
        <f>(J28+J36)</f>
        <v>1338.2309983800001</v>
      </c>
    </row>
    <row r="37" spans="1:24" x14ac:dyDescent="0.25">
      <c r="A37" s="262" t="s">
        <v>42</v>
      </c>
      <c r="B37" s="32">
        <v>0.73841747000000002</v>
      </c>
      <c r="C37" s="32">
        <v>0.68079290000000003</v>
      </c>
      <c r="D37" s="32">
        <v>5.762457E-2</v>
      </c>
      <c r="E37" s="32"/>
      <c r="F37" s="32"/>
      <c r="G37" s="32"/>
      <c r="H37" s="32">
        <v>1.0755876100000001</v>
      </c>
      <c r="I37" s="32">
        <v>1.021938</v>
      </c>
      <c r="J37" s="32">
        <v>5.364961E-2</v>
      </c>
      <c r="K37" s="32">
        <v>0</v>
      </c>
      <c r="L37" s="32">
        <v>0</v>
      </c>
      <c r="M37" s="32">
        <v>0.10872841</v>
      </c>
      <c r="N37" s="32">
        <f t="shared" si="2"/>
        <v>0.33717014000000012</v>
      </c>
      <c r="O37" s="32">
        <f t="shared" si="2"/>
        <v>0.34114509999999998</v>
      </c>
      <c r="P37" s="32">
        <f t="shared" si="2"/>
        <v>-3.9749599999999996E-3</v>
      </c>
      <c r="Q37" s="32">
        <f t="shared" si="3"/>
        <v>45.66118133689335</v>
      </c>
      <c r="R37" s="32">
        <f t="shared" si="3"/>
        <v>50.109967363055631</v>
      </c>
      <c r="S37" s="34">
        <f t="shared" si="3"/>
        <v>-6.8980297813935891</v>
      </c>
      <c r="U37" s="7">
        <f>U36/J50%</f>
        <v>80.963774918259304</v>
      </c>
    </row>
    <row r="38" spans="1:24" x14ac:dyDescent="0.25">
      <c r="A38" s="262" t="s">
        <v>43</v>
      </c>
      <c r="B38" s="32">
        <v>416.91223107000002</v>
      </c>
      <c r="C38" s="32">
        <v>279.02528777999999</v>
      </c>
      <c r="D38" s="32">
        <v>137.88694329000003</v>
      </c>
      <c r="E38" s="32"/>
      <c r="F38" s="32"/>
      <c r="G38" s="32"/>
      <c r="H38" s="32">
        <v>406.12701955</v>
      </c>
      <c r="I38" s="32">
        <v>271.79134205000003</v>
      </c>
      <c r="J38" s="32">
        <v>134.3356775</v>
      </c>
      <c r="K38" s="32">
        <v>133.05738516</v>
      </c>
      <c r="L38" s="32">
        <v>39.297494590000007</v>
      </c>
      <c r="M38" s="32">
        <v>8.7263814499999999</v>
      </c>
      <c r="N38" s="32">
        <f t="shared" si="2"/>
        <v>-10.785211520000018</v>
      </c>
      <c r="O38" s="32">
        <f t="shared" si="2"/>
        <v>-7.2339457299999594</v>
      </c>
      <c r="P38" s="32">
        <f t="shared" si="2"/>
        <v>-3.5512657900000306</v>
      </c>
      <c r="Q38" s="32">
        <f t="shared" si="3"/>
        <v>-2.5869261480575716</v>
      </c>
      <c r="R38" s="32">
        <f t="shared" si="3"/>
        <v>-2.5925771056649296</v>
      </c>
      <c r="S38" s="34">
        <f t="shared" si="3"/>
        <v>-2.5754909821527576</v>
      </c>
    </row>
    <row r="39" spans="1:24" x14ac:dyDescent="0.25">
      <c r="A39" s="262" t="s">
        <v>44</v>
      </c>
      <c r="B39" s="32">
        <v>21.297388519999998</v>
      </c>
      <c r="C39" s="32">
        <v>0.20243627</v>
      </c>
      <c r="D39" s="53">
        <v>21.094952249999999</v>
      </c>
      <c r="E39" s="32"/>
      <c r="F39" s="32"/>
      <c r="G39" s="32"/>
      <c r="H39" s="32">
        <v>14.85387193</v>
      </c>
      <c r="I39" s="32">
        <v>3.19035548</v>
      </c>
      <c r="J39" s="53">
        <v>11.663516449999999</v>
      </c>
      <c r="K39" s="32">
        <v>9.1900785500000008</v>
      </c>
      <c r="L39" s="32">
        <v>5.9170970000000003E-2</v>
      </c>
      <c r="M39" s="32">
        <v>6.1365095099999998</v>
      </c>
      <c r="N39" s="32">
        <f t="shared" si="2"/>
        <v>-6.443516589999998</v>
      </c>
      <c r="O39" s="32">
        <f t="shared" si="2"/>
        <v>2.9879192099999998</v>
      </c>
      <c r="P39" s="32">
        <f t="shared" si="2"/>
        <v>-9.4314357999999991</v>
      </c>
      <c r="Q39" s="32">
        <f t="shared" si="3"/>
        <v>-30.254960996504366</v>
      </c>
      <c r="R39" s="32">
        <f t="shared" si="3"/>
        <v>1475.9801739085592</v>
      </c>
      <c r="S39" s="34">
        <f t="shared" si="3"/>
        <v>-44.709443701158413</v>
      </c>
    </row>
    <row r="40" spans="1:24" s="266" customFormat="1" ht="26.4" x14ac:dyDescent="0.25">
      <c r="A40" s="262" t="s">
        <v>46</v>
      </c>
      <c r="B40" s="32">
        <v>0</v>
      </c>
      <c r="C40" s="32">
        <v>0</v>
      </c>
      <c r="D40" s="32">
        <v>-0.36887105999999997</v>
      </c>
      <c r="E40" s="32"/>
      <c r="F40" s="32"/>
      <c r="G40" s="32"/>
      <c r="H40" s="32">
        <v>0</v>
      </c>
      <c r="I40" s="32">
        <v>0</v>
      </c>
      <c r="J40" s="32">
        <v>0</v>
      </c>
      <c r="K40" s="32"/>
      <c r="L40" s="32"/>
      <c r="M40" s="32"/>
      <c r="N40" s="32">
        <f>H40-B40</f>
        <v>0</v>
      </c>
      <c r="O40" s="32">
        <f t="shared" si="2"/>
        <v>0</v>
      </c>
      <c r="P40" s="32">
        <f t="shared" si="2"/>
        <v>0.36887105999999997</v>
      </c>
      <c r="Q40" s="54" t="s">
        <v>30</v>
      </c>
      <c r="R40" s="54" t="s">
        <v>30</v>
      </c>
      <c r="S40" s="50" t="s">
        <v>30</v>
      </c>
      <c r="T40" s="368"/>
      <c r="U40" s="368"/>
      <c r="V40" s="368"/>
      <c r="W40" s="368"/>
      <c r="X40" s="368"/>
    </row>
    <row r="41" spans="1:24" s="42" customFormat="1" x14ac:dyDescent="0.25">
      <c r="A41" s="35" t="s">
        <v>47</v>
      </c>
      <c r="B41" s="38">
        <v>12190.687900870002</v>
      </c>
      <c r="C41" s="38">
        <v>13059.062180590001</v>
      </c>
      <c r="D41" s="38">
        <v>13753.256409129999</v>
      </c>
      <c r="E41" s="38"/>
      <c r="F41" s="38"/>
      <c r="G41" s="38"/>
      <c r="H41" s="38">
        <v>12639.353557169999</v>
      </c>
      <c r="I41" s="38">
        <v>12722.280035040001</v>
      </c>
      <c r="J41" s="38">
        <v>13920.03569934</v>
      </c>
      <c r="K41" s="38">
        <v>8506.432424229999</v>
      </c>
      <c r="L41" s="38">
        <v>12966.188553549999</v>
      </c>
      <c r="M41" s="38">
        <v>2981.7611813899998</v>
      </c>
      <c r="N41" s="38">
        <f t="shared" si="2"/>
        <v>448.66565629999786</v>
      </c>
      <c r="O41" s="38">
        <f t="shared" si="2"/>
        <v>-336.78214554999977</v>
      </c>
      <c r="P41" s="38">
        <f t="shared" si="2"/>
        <v>166.77929021000091</v>
      </c>
      <c r="Q41" s="38">
        <f t="shared" si="3"/>
        <v>3.6803965448740428</v>
      </c>
      <c r="R41" s="38">
        <f t="shared" si="3"/>
        <v>-2.5789152459245344</v>
      </c>
      <c r="S41" s="39">
        <f t="shared" si="3"/>
        <v>1.212653100099871</v>
      </c>
      <c r="T41" s="68"/>
      <c r="U41" s="68"/>
      <c r="V41" s="68"/>
      <c r="W41" s="68"/>
      <c r="X41" s="68"/>
    </row>
    <row r="42" spans="1:24" x14ac:dyDescent="0.25">
      <c r="A42" s="43" t="s">
        <v>49</v>
      </c>
      <c r="B42" s="32">
        <v>11228.941256489999</v>
      </c>
      <c r="C42" s="32">
        <v>11228.941256489999</v>
      </c>
      <c r="D42" s="32">
        <v>14621.26181779</v>
      </c>
      <c r="E42" s="32"/>
      <c r="F42" s="32"/>
      <c r="G42" s="32"/>
      <c r="H42" s="32">
        <v>11816.387798719999</v>
      </c>
      <c r="I42" s="32">
        <v>11816.387798719999</v>
      </c>
      <c r="J42" s="32">
        <v>14002.962177209996</v>
      </c>
      <c r="K42" s="32">
        <v>8687.6106230400001</v>
      </c>
      <c r="L42" s="32">
        <v>12848.836455930001</v>
      </c>
      <c r="M42" s="32">
        <v>3012.5910873499997</v>
      </c>
      <c r="N42" s="32">
        <f t="shared" si="2"/>
        <v>587.44654222999998</v>
      </c>
      <c r="O42" s="32">
        <f t="shared" si="2"/>
        <v>587.44654222999998</v>
      </c>
      <c r="P42" s="32">
        <f>J42-D42</f>
        <v>-618.29964058000405</v>
      </c>
      <c r="Q42" s="32">
        <f t="shared" si="3"/>
        <v>5.2315399004378378</v>
      </c>
      <c r="R42" s="32">
        <f t="shared" si="3"/>
        <v>5.2315399004378378</v>
      </c>
      <c r="S42" s="34">
        <f t="shared" si="3"/>
        <v>-4.2287707332325084</v>
      </c>
    </row>
    <row r="43" spans="1:24" ht="26.4" x14ac:dyDescent="0.25">
      <c r="A43" s="43" t="s">
        <v>50</v>
      </c>
      <c r="B43" s="32">
        <v>899.71794552999995</v>
      </c>
      <c r="C43" s="32">
        <v>899.70731552999996</v>
      </c>
      <c r="D43" s="32">
        <v>1.0630000000000001E-2</v>
      </c>
      <c r="E43" s="32"/>
      <c r="F43" s="32"/>
      <c r="G43" s="32"/>
      <c r="H43" s="32">
        <v>754.82958419000011</v>
      </c>
      <c r="I43" s="32">
        <v>754.82958419000011</v>
      </c>
      <c r="J43" s="32">
        <v>0</v>
      </c>
      <c r="K43" s="32">
        <v>1.67136</v>
      </c>
      <c r="L43" s="32">
        <v>0</v>
      </c>
      <c r="M43" s="32">
        <v>7.9000000000000001E-2</v>
      </c>
      <c r="N43" s="32">
        <f t="shared" si="2"/>
        <v>-144.88836133999985</v>
      </c>
      <c r="O43" s="32">
        <f t="shared" si="2"/>
        <v>-144.87773133999985</v>
      </c>
      <c r="P43" s="32">
        <f t="shared" si="2"/>
        <v>-1.0630000000000001E-2</v>
      </c>
      <c r="Q43" s="32">
        <f t="shared" si="3"/>
        <v>-16.103753632995506</v>
      </c>
      <c r="R43" s="32">
        <f t="shared" si="3"/>
        <v>-16.102762402754848</v>
      </c>
      <c r="S43" s="34">
        <f t="shared" si="3"/>
        <v>-100</v>
      </c>
    </row>
    <row r="44" spans="1:24" s="79" customFormat="1" ht="26.4" x14ac:dyDescent="0.25">
      <c r="A44" s="43" t="s">
        <v>51</v>
      </c>
      <c r="B44" s="33">
        <v>1.641078</v>
      </c>
      <c r="C44" s="33">
        <v>0</v>
      </c>
      <c r="D44" s="33">
        <v>1.641078</v>
      </c>
      <c r="E44" s="33"/>
      <c r="F44" s="33"/>
      <c r="G44" s="33"/>
      <c r="H44" s="33">
        <v>2.5629784500000001</v>
      </c>
      <c r="I44" s="33">
        <v>0.82499999999999996</v>
      </c>
      <c r="J44" s="33">
        <v>1.73797845</v>
      </c>
      <c r="K44" s="33">
        <v>0</v>
      </c>
      <c r="L44" s="33">
        <v>106.58834899999999</v>
      </c>
      <c r="M44" s="33">
        <v>0.11899999999999999</v>
      </c>
      <c r="N44" s="32">
        <f t="shared" si="2"/>
        <v>0.92190045000000009</v>
      </c>
      <c r="O44" s="32">
        <f t="shared" si="2"/>
        <v>0.82499999999999996</v>
      </c>
      <c r="P44" s="32">
        <f t="shared" si="2"/>
        <v>9.6900449999999916E-2</v>
      </c>
      <c r="Q44" s="32">
        <f t="shared" si="3"/>
        <v>56.176516289902139</v>
      </c>
      <c r="R44" s="54" t="s">
        <v>30</v>
      </c>
      <c r="S44" s="34">
        <f t="shared" si="3"/>
        <v>5.9046827755901887</v>
      </c>
      <c r="T44" s="217"/>
      <c r="U44" s="217"/>
      <c r="V44" s="217"/>
      <c r="W44" s="217"/>
      <c r="X44" s="217"/>
    </row>
    <row r="45" spans="1:24" x14ac:dyDescent="0.25">
      <c r="A45" s="43" t="s">
        <v>52</v>
      </c>
      <c r="B45" s="32">
        <v>57.213050869999996</v>
      </c>
      <c r="C45" s="32">
        <v>29.94666848</v>
      </c>
      <c r="D45" s="32">
        <v>27.26638239</v>
      </c>
      <c r="E45" s="32"/>
      <c r="F45" s="32"/>
      <c r="G45" s="32"/>
      <c r="H45" s="32">
        <v>96.689776849999987</v>
      </c>
      <c r="I45" s="32">
        <v>52.040019239999999</v>
      </c>
      <c r="J45" s="32">
        <v>44.649757609999995</v>
      </c>
      <c r="K45" s="32">
        <v>4.9307575999999997</v>
      </c>
      <c r="L45" s="32">
        <v>8.9747444999999999</v>
      </c>
      <c r="M45" s="32">
        <v>8.1271741199999994</v>
      </c>
      <c r="N45" s="32">
        <f t="shared" si="2"/>
        <v>39.476725979999991</v>
      </c>
      <c r="O45" s="32">
        <f t="shared" si="2"/>
        <v>22.09335076</v>
      </c>
      <c r="P45" s="32">
        <f t="shared" si="2"/>
        <v>17.383375219999994</v>
      </c>
      <c r="Q45" s="32">
        <f t="shared" si="3"/>
        <v>68.999512138758973</v>
      </c>
      <c r="R45" s="32">
        <f t="shared" si="3"/>
        <v>73.775654793638012</v>
      </c>
      <c r="S45" s="34">
        <f t="shared" si="3"/>
        <v>63.753874538102934</v>
      </c>
    </row>
    <row r="46" spans="1:24" ht="26.4" x14ac:dyDescent="0.25">
      <c r="A46" s="43" t="s">
        <v>54</v>
      </c>
      <c r="B46" s="32">
        <v>60.659943509999998</v>
      </c>
      <c r="C46" s="32">
        <v>957.95231362000004</v>
      </c>
      <c r="D46" s="32">
        <v>26.071856260000022</v>
      </c>
      <c r="E46" s="32"/>
      <c r="F46" s="32"/>
      <c r="G46" s="32"/>
      <c r="H46" s="32">
        <v>25.402664079999997</v>
      </c>
      <c r="I46" s="32">
        <v>154.71687800999999</v>
      </c>
      <c r="J46" s="32">
        <v>6.4103378200000005</v>
      </c>
      <c r="K46" s="32">
        <v>9.4423191400000004</v>
      </c>
      <c r="L46" s="32">
        <v>55.314676720000001</v>
      </c>
      <c r="M46" s="32">
        <v>14.08613109</v>
      </c>
      <c r="N46" s="32">
        <f t="shared" si="2"/>
        <v>-35.257279429999997</v>
      </c>
      <c r="O46" s="32">
        <f t="shared" si="2"/>
        <v>-803.23543561000008</v>
      </c>
      <c r="P46" s="32">
        <f t="shared" si="2"/>
        <v>-19.661518440000023</v>
      </c>
      <c r="Q46" s="32">
        <f t="shared" si="3"/>
        <v>-58.122835910962756</v>
      </c>
      <c r="R46" s="32">
        <f t="shared" si="3"/>
        <v>-83.849208795650654</v>
      </c>
      <c r="S46" s="34">
        <f t="shared" si="3"/>
        <v>-75.412806222643709</v>
      </c>
    </row>
    <row r="47" spans="1:24" x14ac:dyDescent="0.25">
      <c r="A47" s="43" t="s">
        <v>55</v>
      </c>
      <c r="B47" s="32">
        <v>-57.485373530000004</v>
      </c>
      <c r="C47" s="32">
        <v>-57.485373530000004</v>
      </c>
      <c r="D47" s="32">
        <v>-922.99535530999992</v>
      </c>
      <c r="E47" s="32"/>
      <c r="F47" s="32"/>
      <c r="G47" s="32"/>
      <c r="H47" s="32">
        <v>-56.519245120000001</v>
      </c>
      <c r="I47" s="32">
        <v>-56.519245120000001</v>
      </c>
      <c r="J47" s="32">
        <v>-135.72455174999999</v>
      </c>
      <c r="K47" s="32">
        <v>-197.22263555000001</v>
      </c>
      <c r="L47" s="32">
        <v>-53.5256726</v>
      </c>
      <c r="M47" s="32">
        <v>-53.24121117</v>
      </c>
      <c r="N47" s="32">
        <f t="shared" si="2"/>
        <v>0.96612841000000316</v>
      </c>
      <c r="O47" s="32">
        <f t="shared" si="2"/>
        <v>0.96612841000000316</v>
      </c>
      <c r="P47" s="32">
        <f t="shared" si="2"/>
        <v>787.27080355999988</v>
      </c>
      <c r="Q47" s="32">
        <f t="shared" si="3"/>
        <v>-1.6806508345915319</v>
      </c>
      <c r="R47" s="32">
        <f t="shared" si="3"/>
        <v>-1.6806508345915319</v>
      </c>
      <c r="S47" s="34">
        <f t="shared" si="3"/>
        <v>-85.295207503572414</v>
      </c>
    </row>
    <row r="48" spans="1:24" s="42" customFormat="1" x14ac:dyDescent="0.25">
      <c r="A48" s="267" t="s">
        <v>56</v>
      </c>
      <c r="B48" s="268">
        <v>53483.177544589998</v>
      </c>
      <c r="C48" s="268">
        <v>45219.909611000003</v>
      </c>
      <c r="D48" s="268">
        <v>22884.529751379996</v>
      </c>
      <c r="E48" s="268"/>
      <c r="F48" s="268"/>
      <c r="G48" s="268"/>
      <c r="H48" s="268">
        <v>58342.073950679995</v>
      </c>
      <c r="I48" s="268">
        <v>49047.813736970005</v>
      </c>
      <c r="J48" s="268">
        <v>23297.222390920007</v>
      </c>
      <c r="K48" s="268">
        <v>18047.763029440004</v>
      </c>
      <c r="L48" s="268">
        <v>15144.476821979999</v>
      </c>
      <c r="M48" s="268">
        <v>4194.2491358300003</v>
      </c>
      <c r="N48" s="268">
        <f t="shared" si="2"/>
        <v>4858.8964060899962</v>
      </c>
      <c r="O48" s="268">
        <f t="shared" si="2"/>
        <v>3827.9041259700025</v>
      </c>
      <c r="P48" s="268">
        <f t="shared" si="2"/>
        <v>412.69263954001144</v>
      </c>
      <c r="Q48" s="268">
        <f t="shared" si="3"/>
        <v>9.084906000656062</v>
      </c>
      <c r="R48" s="268">
        <f t="shared" si="3"/>
        <v>8.4650857529331347</v>
      </c>
      <c r="S48" s="269">
        <f t="shared" si="3"/>
        <v>1.8033695427590146</v>
      </c>
      <c r="T48" s="68"/>
      <c r="U48" s="68"/>
      <c r="V48" s="68"/>
      <c r="W48" s="68"/>
      <c r="X48" s="68"/>
    </row>
    <row r="49" spans="1:24" s="42" customFormat="1" x14ac:dyDescent="0.25">
      <c r="A49" s="267" t="s">
        <v>57</v>
      </c>
      <c r="B49" s="268">
        <f>+B11+B12+B13+B14+B19+B24+B26+B27</f>
        <v>38743.476641759997</v>
      </c>
      <c r="C49" s="268">
        <f t="shared" ref="C49:P49" si="17">+C11+C12+C13+C14+C19+C24+C26+C27</f>
        <v>31326.324710529996</v>
      </c>
      <c r="D49" s="268">
        <f t="shared" si="17"/>
        <v>7417.1519312300006</v>
      </c>
      <c r="E49" s="268">
        <f t="shared" si="17"/>
        <v>0</v>
      </c>
      <c r="F49" s="268">
        <f t="shared" si="17"/>
        <v>0</v>
      </c>
      <c r="G49" s="268">
        <f t="shared" si="17"/>
        <v>0</v>
      </c>
      <c r="H49" s="268">
        <f t="shared" si="17"/>
        <v>43176.835385539998</v>
      </c>
      <c r="I49" s="268">
        <f t="shared" si="17"/>
        <v>35452.524933649991</v>
      </c>
      <c r="J49" s="268">
        <f t="shared" si="17"/>
        <v>7724.3104518900018</v>
      </c>
      <c r="K49" s="268">
        <f t="shared" si="17"/>
        <v>7613.9880713199991</v>
      </c>
      <c r="L49" s="268">
        <f t="shared" si="17"/>
        <v>1761.1656199300003</v>
      </c>
      <c r="M49" s="268">
        <f t="shared" si="17"/>
        <v>914.60900569</v>
      </c>
      <c r="N49" s="268">
        <f t="shared" si="17"/>
        <v>4433.3587437800006</v>
      </c>
      <c r="O49" s="268">
        <f t="shared" si="17"/>
        <v>4126.2002231200013</v>
      </c>
      <c r="P49" s="268">
        <f t="shared" si="17"/>
        <v>307.15852066000076</v>
      </c>
      <c r="Q49" s="268">
        <f t="shared" ref="Q49:S50" si="18">H49/B49%-100</f>
        <v>11.442852134238947</v>
      </c>
      <c r="R49" s="268">
        <f t="shared" si="18"/>
        <v>13.171670348334914</v>
      </c>
      <c r="S49" s="269">
        <f t="shared" si="18"/>
        <v>4.1411922461330022</v>
      </c>
      <c r="T49" s="68"/>
      <c r="U49" s="68"/>
      <c r="V49" s="68"/>
      <c r="W49" s="68"/>
      <c r="X49" s="68"/>
    </row>
    <row r="50" spans="1:24" s="42" customFormat="1" x14ac:dyDescent="0.25">
      <c r="A50" s="267" t="s">
        <v>58</v>
      </c>
      <c r="B50" s="268">
        <f>+B28+B29+B33+B36+B37+B38+B39+B40</f>
        <v>2549.0130019600001</v>
      </c>
      <c r="C50" s="268">
        <f t="shared" ref="C50:P50" si="19">+C28+C29+C33+C36+C37+C38+C39+C40</f>
        <v>834.52271988000007</v>
      </c>
      <c r="D50" s="268">
        <f t="shared" si="19"/>
        <v>1714.1214110200001</v>
      </c>
      <c r="E50" s="268">
        <f t="shared" si="19"/>
        <v>0</v>
      </c>
      <c r="F50" s="268">
        <f t="shared" si="19"/>
        <v>0</v>
      </c>
      <c r="G50" s="268">
        <f t="shared" si="19"/>
        <v>0</v>
      </c>
      <c r="H50" s="268">
        <f>+H28+H29+H33+H36+H37+H38+H39+H40</f>
        <v>2525.8850079700001</v>
      </c>
      <c r="I50" s="268">
        <f t="shared" si="19"/>
        <v>873.00876828000003</v>
      </c>
      <c r="J50" s="268">
        <f t="shared" si="19"/>
        <v>1652.8762396900001</v>
      </c>
      <c r="K50" s="268">
        <f t="shared" si="19"/>
        <v>1927.3425338900001</v>
      </c>
      <c r="L50" s="268">
        <f t="shared" si="19"/>
        <v>417.12264849999997</v>
      </c>
      <c r="M50" s="268">
        <f t="shared" si="19"/>
        <v>297.87894875000001</v>
      </c>
      <c r="N50" s="268">
        <f t="shared" si="19"/>
        <v>-23.127993990000029</v>
      </c>
      <c r="O50" s="268">
        <f t="shared" si="19"/>
        <v>38.486048400000008</v>
      </c>
      <c r="P50" s="268">
        <f t="shared" si="19"/>
        <v>-61.245171330000083</v>
      </c>
      <c r="Q50" s="268">
        <f>H50/B50%-100</f>
        <v>-0.90733134637667945</v>
      </c>
      <c r="R50" s="268">
        <f t="shared" si="18"/>
        <v>4.6117436329994916</v>
      </c>
      <c r="S50" s="269">
        <f>J50/D50%-100</f>
        <v>-3.5729774411694422</v>
      </c>
      <c r="T50" s="68"/>
      <c r="U50" s="68"/>
      <c r="V50" s="68"/>
      <c r="W50" s="68"/>
      <c r="X50" s="68"/>
    </row>
    <row r="51" spans="1:24" s="1" customFormat="1" x14ac:dyDescent="0.25">
      <c r="A51" s="252" t="s">
        <v>64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277"/>
      <c r="T51" s="7"/>
      <c r="U51" s="7"/>
      <c r="V51" s="7"/>
      <c r="W51" s="7"/>
      <c r="X51" s="7"/>
    </row>
    <row r="52" spans="1:24" x14ac:dyDescent="0.25">
      <c r="A52" s="107" t="s">
        <v>250</v>
      </c>
      <c r="B52" s="38">
        <v>3680.0814854499999</v>
      </c>
      <c r="C52" s="38">
        <v>1529.7506977999999</v>
      </c>
      <c r="D52" s="38">
        <v>2229.88183123</v>
      </c>
      <c r="E52" s="38"/>
      <c r="F52" s="38"/>
      <c r="G52" s="38"/>
      <c r="H52" s="38">
        <v>3614.1821316999999</v>
      </c>
      <c r="I52" s="38">
        <v>1430.3230765799999</v>
      </c>
      <c r="J52" s="38">
        <v>2242.9159857899999</v>
      </c>
      <c r="K52" s="38"/>
      <c r="L52" s="38"/>
      <c r="M52" s="38"/>
      <c r="N52" s="38">
        <f t="shared" ref="N52:P75" si="20">H52-B52</f>
        <v>-65.899353750000046</v>
      </c>
      <c r="O52" s="38">
        <f t="shared" si="20"/>
        <v>-99.427621219999992</v>
      </c>
      <c r="P52" s="38">
        <f t="shared" si="20"/>
        <v>13.034154559999934</v>
      </c>
      <c r="Q52" s="38">
        <f t="shared" ref="Q52:S75" si="21">H52/B52%-100</f>
        <v>-1.7907036572572395</v>
      </c>
      <c r="R52" s="38">
        <f t="shared" si="21"/>
        <v>-6.4995963958696734</v>
      </c>
      <c r="S52" s="39">
        <f t="shared" si="21"/>
        <v>0.58452220998681526</v>
      </c>
    </row>
    <row r="53" spans="1:24" ht="24.75" customHeight="1" x14ac:dyDescent="0.25">
      <c r="A53" s="270" t="s">
        <v>251</v>
      </c>
      <c r="B53" s="32">
        <v>112.60770368999999</v>
      </c>
      <c r="C53" s="32">
        <v>3.68058964</v>
      </c>
      <c r="D53" s="32">
        <v>108.92711405000001</v>
      </c>
      <c r="E53" s="32"/>
      <c r="F53" s="32"/>
      <c r="G53" s="32"/>
      <c r="H53" s="32">
        <v>112.22535296</v>
      </c>
      <c r="I53" s="32">
        <v>3.7630643999999998</v>
      </c>
      <c r="J53" s="32">
        <v>108.46228856</v>
      </c>
      <c r="K53" s="32"/>
      <c r="L53" s="32"/>
      <c r="M53" s="32"/>
      <c r="N53" s="32">
        <f t="shared" si="20"/>
        <v>-0.38235072999999886</v>
      </c>
      <c r="O53" s="32">
        <f t="shared" si="20"/>
        <v>8.2474759999999758E-2</v>
      </c>
      <c r="P53" s="32">
        <f t="shared" si="20"/>
        <v>-0.46482549000000972</v>
      </c>
      <c r="Q53" s="32">
        <f t="shared" si="21"/>
        <v>-0.33954224930523935</v>
      </c>
      <c r="R53" s="32">
        <f t="shared" si="21"/>
        <v>2.2408029165674463</v>
      </c>
      <c r="S53" s="34">
        <f t="shared" si="21"/>
        <v>-0.42673074932164923</v>
      </c>
    </row>
    <row r="54" spans="1:24" ht="52.8" x14ac:dyDescent="0.25">
      <c r="A54" s="270" t="s">
        <v>252</v>
      </c>
      <c r="B54" s="32">
        <v>242.39775225</v>
      </c>
      <c r="C54" s="32">
        <v>137.46702284</v>
      </c>
      <c r="D54" s="32">
        <f>105.10451427-D55</f>
        <v>105.10451427</v>
      </c>
      <c r="E54" s="32"/>
      <c r="F54" s="32"/>
      <c r="G54" s="32"/>
      <c r="H54" s="32">
        <v>245.46630733000001</v>
      </c>
      <c r="I54" s="32">
        <v>141.25121116</v>
      </c>
      <c r="J54" s="32">
        <v>104.22247908999999</v>
      </c>
      <c r="K54" s="32"/>
      <c r="L54" s="32"/>
      <c r="M54" s="32"/>
      <c r="N54" s="32">
        <f t="shared" si="20"/>
        <v>3.0685550800000101</v>
      </c>
      <c r="O54" s="32">
        <f t="shared" si="20"/>
        <v>3.7841883199999984</v>
      </c>
      <c r="P54" s="32">
        <f t="shared" si="20"/>
        <v>-0.88203518000000258</v>
      </c>
      <c r="Q54" s="32">
        <f t="shared" si="21"/>
        <v>1.265917299775623</v>
      </c>
      <c r="R54" s="32">
        <f t="shared" si="21"/>
        <v>2.752797174057136</v>
      </c>
      <c r="S54" s="34">
        <f t="shared" si="21"/>
        <v>-0.83919818870403162</v>
      </c>
    </row>
    <row r="55" spans="1:24" s="275" customFormat="1" hidden="1" x14ac:dyDescent="0.25">
      <c r="A55" s="272" t="s">
        <v>323</v>
      </c>
      <c r="B55" s="273">
        <v>0</v>
      </c>
      <c r="C55" s="273">
        <v>0.17378485999999999</v>
      </c>
      <c r="D55" s="273">
        <v>0</v>
      </c>
      <c r="E55" s="273"/>
      <c r="F55" s="273"/>
      <c r="G55" s="273"/>
      <c r="H55" s="273">
        <v>0</v>
      </c>
      <c r="I55" s="273">
        <v>7.3829200000000003E-3</v>
      </c>
      <c r="J55" s="273">
        <v>0</v>
      </c>
      <c r="K55" s="273"/>
      <c r="L55" s="273"/>
      <c r="M55" s="273"/>
      <c r="N55" s="273"/>
      <c r="O55" s="273"/>
      <c r="P55" s="273"/>
      <c r="Q55" s="273"/>
      <c r="R55" s="273"/>
      <c r="S55" s="274"/>
      <c r="T55" s="369"/>
      <c r="U55" s="369"/>
      <c r="V55" s="369"/>
      <c r="W55" s="369"/>
      <c r="X55" s="369"/>
    </row>
    <row r="56" spans="1:24" ht="37.5" customHeight="1" x14ac:dyDescent="0.25">
      <c r="A56" s="270" t="s">
        <v>253</v>
      </c>
      <c r="B56" s="32">
        <v>1340.3703893299999</v>
      </c>
      <c r="C56" s="32">
        <v>222.72967613999998</v>
      </c>
      <c r="D56" s="32">
        <f>1175.94053986-D57</f>
        <v>1162.1415141999998</v>
      </c>
      <c r="E56" s="32"/>
      <c r="F56" s="32"/>
      <c r="G56" s="32"/>
      <c r="H56" s="32">
        <v>1334.7106984100001</v>
      </c>
      <c r="I56" s="32">
        <v>246.58977450999998</v>
      </c>
      <c r="J56" s="32">
        <f>1145.47788393-J57</f>
        <v>1132.49899992</v>
      </c>
      <c r="K56" s="32"/>
      <c r="L56" s="32"/>
      <c r="M56" s="32"/>
      <c r="N56" s="32">
        <f t="shared" si="20"/>
        <v>-5.6596909199997754</v>
      </c>
      <c r="O56" s="32">
        <f t="shared" si="20"/>
        <v>23.860098370000003</v>
      </c>
      <c r="P56" s="32">
        <f t="shared" si="20"/>
        <v>-29.642514279999887</v>
      </c>
      <c r="Q56" s="32">
        <f t="shared" si="21"/>
        <v>-0.42224828040470186</v>
      </c>
      <c r="R56" s="32">
        <f t="shared" si="21"/>
        <v>10.712581629671291</v>
      </c>
      <c r="S56" s="34">
        <f t="shared" si="21"/>
        <v>-2.5506802672310727</v>
      </c>
    </row>
    <row r="57" spans="1:24" s="76" customFormat="1" hidden="1" x14ac:dyDescent="0.25">
      <c r="A57" s="276" t="s">
        <v>323</v>
      </c>
      <c r="B57" s="63">
        <v>0</v>
      </c>
      <c r="C57" s="63">
        <v>44.500801009999996</v>
      </c>
      <c r="D57" s="63">
        <v>13.79902566</v>
      </c>
      <c r="E57" s="63"/>
      <c r="F57" s="63"/>
      <c r="G57" s="63"/>
      <c r="H57" s="63">
        <v>0</v>
      </c>
      <c r="I57" s="63">
        <v>44.378076020000002</v>
      </c>
      <c r="J57" s="63">
        <v>12.97888401</v>
      </c>
      <c r="K57" s="63"/>
      <c r="L57" s="63"/>
      <c r="M57" s="63"/>
      <c r="N57" s="63"/>
      <c r="O57" s="63"/>
      <c r="P57" s="63"/>
      <c r="Q57" s="63"/>
      <c r="R57" s="63"/>
      <c r="S57" s="277"/>
      <c r="T57" s="75"/>
      <c r="U57" s="75"/>
      <c r="V57" s="75"/>
      <c r="W57" s="75"/>
      <c r="X57" s="75"/>
    </row>
    <row r="58" spans="1:24" x14ac:dyDescent="0.25">
      <c r="A58" s="270" t="s">
        <v>254</v>
      </c>
      <c r="B58" s="32">
        <v>204.31192502000002</v>
      </c>
      <c r="C58" s="32">
        <v>204.31284002000001</v>
      </c>
      <c r="D58" s="32">
        <v>0.22535323999999998</v>
      </c>
      <c r="E58" s="32"/>
      <c r="F58" s="32"/>
      <c r="G58" s="32"/>
      <c r="H58" s="32">
        <v>206.24991456999999</v>
      </c>
      <c r="I58" s="32">
        <v>206.24991456999999</v>
      </c>
      <c r="J58" s="32">
        <v>0</v>
      </c>
      <c r="K58" s="32"/>
      <c r="L58" s="32"/>
      <c r="M58" s="32"/>
      <c r="N58" s="32">
        <f t="shared" si="20"/>
        <v>1.9379895499999691</v>
      </c>
      <c r="O58" s="32">
        <f t="shared" si="20"/>
        <v>1.9370745499999771</v>
      </c>
      <c r="P58" s="32">
        <f t="shared" si="20"/>
        <v>-0.22535323999999998</v>
      </c>
      <c r="Q58" s="32">
        <f t="shared" si="21"/>
        <v>0.94854451095316961</v>
      </c>
      <c r="R58" s="32">
        <f t="shared" si="21"/>
        <v>0.9480924203346035</v>
      </c>
      <c r="S58" s="50" t="s">
        <v>30</v>
      </c>
    </row>
    <row r="59" spans="1:24" ht="39.6" x14ac:dyDescent="0.25">
      <c r="A59" s="270" t="s">
        <v>255</v>
      </c>
      <c r="B59" s="32">
        <v>327.36712894999999</v>
      </c>
      <c r="C59" s="32">
        <v>105.77129959</v>
      </c>
      <c r="D59" s="32">
        <f>227.94494751-D60</f>
        <v>221.59582935999998</v>
      </c>
      <c r="E59" s="32"/>
      <c r="F59" s="32"/>
      <c r="G59" s="32"/>
      <c r="H59" s="32">
        <v>314.22650880000003</v>
      </c>
      <c r="I59" s="32">
        <v>95.701826330000003</v>
      </c>
      <c r="J59" s="32">
        <f>224.85497814-J60</f>
        <v>218.52468246999999</v>
      </c>
      <c r="K59" s="32"/>
      <c r="L59" s="32"/>
      <c r="M59" s="32"/>
      <c r="N59" s="32">
        <f t="shared" si="20"/>
        <v>-13.140620149999961</v>
      </c>
      <c r="O59" s="32">
        <f t="shared" si="20"/>
        <v>-10.069473259999995</v>
      </c>
      <c r="P59" s="32">
        <f t="shared" si="20"/>
        <v>-3.0711468899999943</v>
      </c>
      <c r="Q59" s="32">
        <f t="shared" si="21"/>
        <v>-4.0140316445781394</v>
      </c>
      <c r="R59" s="32">
        <f t="shared" si="21"/>
        <v>-9.5200430542426631</v>
      </c>
      <c r="S59" s="34">
        <f t="shared" si="21"/>
        <v>-1.3859226948764842</v>
      </c>
    </row>
    <row r="60" spans="1:24" s="76" customFormat="1" hidden="1" x14ac:dyDescent="0.25">
      <c r="A60" s="276" t="s">
        <v>323</v>
      </c>
      <c r="B60" s="63">
        <v>0</v>
      </c>
      <c r="C60" s="63">
        <v>0</v>
      </c>
      <c r="D60" s="63">
        <v>6.3491181500000007</v>
      </c>
      <c r="E60" s="63"/>
      <c r="F60" s="63"/>
      <c r="G60" s="63"/>
      <c r="H60" s="63">
        <v>0</v>
      </c>
      <c r="I60" s="63">
        <v>0</v>
      </c>
      <c r="J60" s="63">
        <v>6.3302956699999999</v>
      </c>
      <c r="K60" s="63"/>
      <c r="L60" s="63"/>
      <c r="M60" s="63"/>
      <c r="N60" s="63"/>
      <c r="O60" s="63"/>
      <c r="P60" s="63"/>
      <c r="Q60" s="63"/>
      <c r="R60" s="63"/>
      <c r="S60" s="277"/>
      <c r="T60" s="75"/>
      <c r="U60" s="75"/>
      <c r="V60" s="75"/>
      <c r="W60" s="75"/>
      <c r="X60" s="75"/>
    </row>
    <row r="61" spans="1:24" ht="26.4" x14ac:dyDescent="0.25">
      <c r="A61" s="270" t="s">
        <v>256</v>
      </c>
      <c r="B61" s="32">
        <v>54.870245670000003</v>
      </c>
      <c r="C61" s="32">
        <v>26.924720090000001</v>
      </c>
      <c r="D61" s="32">
        <f>32.78062558-D62</f>
        <v>27.945525579999998</v>
      </c>
      <c r="E61" s="32"/>
      <c r="F61" s="32"/>
      <c r="G61" s="32"/>
      <c r="H61" s="32">
        <v>76.582740020000003</v>
      </c>
      <c r="I61" s="32">
        <v>37.673682100000001</v>
      </c>
      <c r="J61" s="32">
        <f>39.00395792-J62</f>
        <v>38.909057919999995</v>
      </c>
      <c r="K61" s="32"/>
      <c r="L61" s="32"/>
      <c r="M61" s="32"/>
      <c r="N61" s="32">
        <f t="shared" si="20"/>
        <v>21.71249435</v>
      </c>
      <c r="O61" s="32">
        <f t="shared" si="20"/>
        <v>10.74896201</v>
      </c>
      <c r="P61" s="32">
        <f t="shared" si="20"/>
        <v>10.963532339999997</v>
      </c>
      <c r="Q61" s="32">
        <f t="shared" si="21"/>
        <v>39.570616250896762</v>
      </c>
      <c r="R61" s="32">
        <f t="shared" si="21"/>
        <v>39.922279504002091</v>
      </c>
      <c r="S61" s="34">
        <f t="shared" si="21"/>
        <v>39.231798695696597</v>
      </c>
    </row>
    <row r="62" spans="1:24" s="76" customFormat="1" hidden="1" x14ac:dyDescent="0.25">
      <c r="A62" s="276" t="s">
        <v>323</v>
      </c>
      <c r="B62" s="63">
        <v>0</v>
      </c>
      <c r="C62" s="63">
        <v>0</v>
      </c>
      <c r="D62" s="63">
        <v>4.8350999999999997</v>
      </c>
      <c r="E62" s="63"/>
      <c r="F62" s="63"/>
      <c r="G62" s="63"/>
      <c r="H62" s="63">
        <v>0</v>
      </c>
      <c r="I62" s="63">
        <v>0</v>
      </c>
      <c r="J62" s="63">
        <v>9.4899999999999998E-2</v>
      </c>
      <c r="K62" s="63"/>
      <c r="L62" s="63"/>
      <c r="M62" s="63"/>
      <c r="N62" s="63"/>
      <c r="O62" s="63"/>
      <c r="P62" s="63"/>
      <c r="Q62" s="32"/>
      <c r="R62" s="32"/>
      <c r="S62" s="34"/>
      <c r="T62" s="75"/>
      <c r="U62" s="75"/>
      <c r="V62" s="75"/>
      <c r="W62" s="75"/>
      <c r="X62" s="75"/>
    </row>
    <row r="63" spans="1:24" x14ac:dyDescent="0.25">
      <c r="A63" s="270" t="s">
        <v>257</v>
      </c>
      <c r="B63" s="32">
        <v>1.423985E-2</v>
      </c>
      <c r="C63" s="32">
        <v>0</v>
      </c>
      <c r="D63" s="32">
        <v>1.423985E-2</v>
      </c>
      <c r="E63" s="32"/>
      <c r="F63" s="32"/>
      <c r="G63" s="32"/>
      <c r="H63" s="32">
        <v>0</v>
      </c>
      <c r="I63" s="32">
        <v>0</v>
      </c>
      <c r="J63" s="32">
        <v>0</v>
      </c>
      <c r="K63" s="32"/>
      <c r="L63" s="32"/>
      <c r="M63" s="32"/>
      <c r="N63" s="32">
        <f t="shared" si="20"/>
        <v>-1.423985E-2</v>
      </c>
      <c r="O63" s="32">
        <f t="shared" si="20"/>
        <v>0</v>
      </c>
      <c r="P63" s="32">
        <f t="shared" si="20"/>
        <v>-1.423985E-2</v>
      </c>
      <c r="Q63" s="32">
        <f t="shared" ref="Q63:Q65" si="22">H63/B63%-100</f>
        <v>-100</v>
      </c>
      <c r="R63" s="54" t="s">
        <v>30</v>
      </c>
      <c r="S63" s="34">
        <f t="shared" ref="S63" si="23">J63/D63%-100</f>
        <v>-100</v>
      </c>
    </row>
    <row r="64" spans="1:24" s="76" customFormat="1" hidden="1" x14ac:dyDescent="0.25">
      <c r="A64" s="276" t="s">
        <v>323</v>
      </c>
      <c r="B64" s="63"/>
      <c r="C64" s="63"/>
      <c r="D64" s="63"/>
      <c r="E64" s="63"/>
      <c r="F64" s="63"/>
      <c r="G64" s="63"/>
      <c r="H64" s="63">
        <v>0</v>
      </c>
      <c r="I64" s="63">
        <v>0</v>
      </c>
      <c r="J64" s="63">
        <v>0</v>
      </c>
      <c r="K64" s="63"/>
      <c r="L64" s="63"/>
      <c r="M64" s="63"/>
      <c r="N64" s="63">
        <f t="shared" si="20"/>
        <v>0</v>
      </c>
      <c r="O64" s="63">
        <f t="shared" si="20"/>
        <v>0</v>
      </c>
      <c r="P64" s="63">
        <f t="shared" si="20"/>
        <v>0</v>
      </c>
      <c r="Q64" s="32"/>
      <c r="R64" s="32"/>
      <c r="S64" s="34"/>
      <c r="T64" s="75"/>
      <c r="U64" s="75"/>
      <c r="V64" s="75"/>
      <c r="W64" s="75"/>
      <c r="X64" s="75"/>
    </row>
    <row r="65" spans="1:24" ht="26.4" x14ac:dyDescent="0.25">
      <c r="A65" s="270" t="s">
        <v>258</v>
      </c>
      <c r="B65" s="32">
        <v>7.6</v>
      </c>
      <c r="C65" s="32">
        <v>7.6</v>
      </c>
      <c r="D65" s="32">
        <v>0</v>
      </c>
      <c r="E65" s="32"/>
      <c r="F65" s="32"/>
      <c r="G65" s="32"/>
      <c r="H65" s="32">
        <v>10.25643</v>
      </c>
      <c r="I65" s="32">
        <v>10.25643</v>
      </c>
      <c r="J65" s="32">
        <v>0</v>
      </c>
      <c r="K65" s="32"/>
      <c r="L65" s="32"/>
      <c r="M65" s="32"/>
      <c r="N65" s="32">
        <f t="shared" si="20"/>
        <v>2.6564300000000003</v>
      </c>
      <c r="O65" s="32">
        <f t="shared" si="20"/>
        <v>2.6564300000000003</v>
      </c>
      <c r="P65" s="32">
        <f t="shared" si="20"/>
        <v>0</v>
      </c>
      <c r="Q65" s="32">
        <f t="shared" si="22"/>
        <v>34.953026315789486</v>
      </c>
      <c r="R65" s="32">
        <f t="shared" ref="R65" si="24">I65/C65%-100</f>
        <v>34.953026315789486</v>
      </c>
      <c r="S65" s="50" t="s">
        <v>30</v>
      </c>
    </row>
    <row r="66" spans="1:24" x14ac:dyDescent="0.25">
      <c r="A66" s="270" t="s">
        <v>259</v>
      </c>
      <c r="B66" s="32">
        <v>1390.5421006900001</v>
      </c>
      <c r="C66" s="32">
        <v>821.26454948000003</v>
      </c>
      <c r="D66" s="32">
        <f>620.17168463-D67</f>
        <v>603.92774067999994</v>
      </c>
      <c r="E66" s="32"/>
      <c r="F66" s="32"/>
      <c r="G66" s="32"/>
      <c r="H66" s="32">
        <v>1314.46417961</v>
      </c>
      <c r="I66" s="32">
        <v>688.83717350999996</v>
      </c>
      <c r="J66" s="32">
        <f>657.49380736-J67</f>
        <v>640.29847783000002</v>
      </c>
      <c r="K66" s="32"/>
      <c r="L66" s="32"/>
      <c r="M66" s="32"/>
      <c r="N66" s="32">
        <f t="shared" si="20"/>
        <v>-76.077921080000124</v>
      </c>
      <c r="O66" s="32">
        <f t="shared" si="20"/>
        <v>-132.42737597000007</v>
      </c>
      <c r="P66" s="32">
        <f t="shared" si="20"/>
        <v>36.370737150000082</v>
      </c>
      <c r="Q66" s="32">
        <f t="shared" si="21"/>
        <v>-5.4710980014376815</v>
      </c>
      <c r="R66" s="32">
        <f t="shared" si="21"/>
        <v>-16.124813381248359</v>
      </c>
      <c r="S66" s="34">
        <f t="shared" si="21"/>
        <v>6.0223657070377357</v>
      </c>
    </row>
    <row r="67" spans="1:24" s="76" customFormat="1" hidden="1" x14ac:dyDescent="0.25">
      <c r="A67" s="276" t="s">
        <v>323</v>
      </c>
      <c r="B67" s="63">
        <v>0</v>
      </c>
      <c r="C67" s="63">
        <v>34.650189470000001</v>
      </c>
      <c r="D67" s="63">
        <v>16.243943949999998</v>
      </c>
      <c r="E67" s="63"/>
      <c r="F67" s="63"/>
      <c r="G67" s="63"/>
      <c r="H67" s="63">
        <v>0.11763700000000001</v>
      </c>
      <c r="I67" s="63">
        <v>14.789108730000001</v>
      </c>
      <c r="J67" s="63">
        <v>17.195329530000002</v>
      </c>
      <c r="K67" s="63"/>
      <c r="L67" s="63"/>
      <c r="M67" s="63"/>
      <c r="N67" s="63"/>
      <c r="O67" s="63"/>
      <c r="P67" s="63"/>
      <c r="Q67" s="63"/>
      <c r="R67" s="63"/>
      <c r="S67" s="277"/>
      <c r="T67" s="75"/>
      <c r="U67" s="75"/>
      <c r="V67" s="75"/>
      <c r="W67" s="75"/>
      <c r="X67" s="75"/>
    </row>
    <row r="68" spans="1:24" x14ac:dyDescent="0.25">
      <c r="A68" s="107" t="s">
        <v>260</v>
      </c>
      <c r="B68" s="38">
        <v>20.922734649999999</v>
      </c>
      <c r="C68" s="38">
        <v>24.100813500000001</v>
      </c>
      <c r="D68" s="38">
        <v>20.922734650000002</v>
      </c>
      <c r="E68" s="38"/>
      <c r="F68" s="38"/>
      <c r="G68" s="38"/>
      <c r="H68" s="38">
        <v>20.14477703</v>
      </c>
      <c r="I68" s="38">
        <v>21.596067619999999</v>
      </c>
      <c r="J68" s="38">
        <v>20.14477703</v>
      </c>
      <c r="K68" s="38"/>
      <c r="L68" s="38"/>
      <c r="M68" s="38"/>
      <c r="N68" s="38">
        <f t="shared" si="20"/>
        <v>-0.77795761999999868</v>
      </c>
      <c r="O68" s="38">
        <f t="shared" si="20"/>
        <v>-2.5047458800000015</v>
      </c>
      <c r="P68" s="38">
        <f t="shared" si="20"/>
        <v>-0.77795762000000224</v>
      </c>
      <c r="Q68" s="38">
        <f t="shared" si="21"/>
        <v>-3.718240626829342</v>
      </c>
      <c r="R68" s="38">
        <f t="shared" si="21"/>
        <v>-10.392785621116076</v>
      </c>
      <c r="S68" s="39">
        <f t="shared" si="21"/>
        <v>-3.7182406268293562</v>
      </c>
    </row>
    <row r="69" spans="1:24" ht="26.4" x14ac:dyDescent="0.25">
      <c r="A69" s="270" t="s">
        <v>261</v>
      </c>
      <c r="B69" s="32">
        <v>20.922734649999999</v>
      </c>
      <c r="C69" s="32">
        <v>24.100813500000001</v>
      </c>
      <c r="D69" s="32">
        <f>40.92520617-D70</f>
        <v>20.922734650000002</v>
      </c>
      <c r="E69" s="32"/>
      <c r="F69" s="32"/>
      <c r="G69" s="32"/>
      <c r="H69" s="32">
        <v>20.14477703</v>
      </c>
      <c r="I69" s="32">
        <v>21.596067619999999</v>
      </c>
      <c r="J69" s="32">
        <f>37.63523496-J70</f>
        <v>20.14477703</v>
      </c>
      <c r="K69" s="32"/>
      <c r="L69" s="32"/>
      <c r="M69" s="32"/>
      <c r="N69" s="32">
        <f t="shared" si="20"/>
        <v>-0.77795761999999868</v>
      </c>
      <c r="O69" s="32">
        <f t="shared" si="20"/>
        <v>-2.5047458800000015</v>
      </c>
      <c r="P69" s="32">
        <f>J69-D69</f>
        <v>-0.77795762000000224</v>
      </c>
      <c r="Q69" s="32">
        <f t="shared" si="21"/>
        <v>-3.718240626829342</v>
      </c>
      <c r="R69" s="32">
        <f t="shared" si="21"/>
        <v>-10.392785621116076</v>
      </c>
      <c r="S69" s="34">
        <f t="shared" si="21"/>
        <v>-3.7182406268293562</v>
      </c>
    </row>
    <row r="70" spans="1:24" s="76" customFormat="1" hidden="1" x14ac:dyDescent="0.25">
      <c r="A70" s="276" t="s">
        <v>323</v>
      </c>
      <c r="B70" s="63">
        <v>0</v>
      </c>
      <c r="C70" s="63">
        <v>24.100813500000001</v>
      </c>
      <c r="D70" s="63">
        <v>20.00247152</v>
      </c>
      <c r="E70" s="63"/>
      <c r="F70" s="63"/>
      <c r="G70" s="63"/>
      <c r="H70" s="63">
        <v>0</v>
      </c>
      <c r="I70" s="63">
        <v>21.596067619999999</v>
      </c>
      <c r="J70" s="63">
        <v>17.490457929999998</v>
      </c>
      <c r="K70" s="63"/>
      <c r="L70" s="63"/>
      <c r="M70" s="63"/>
      <c r="N70" s="63"/>
      <c r="O70" s="63"/>
      <c r="P70" s="63"/>
      <c r="Q70" s="63"/>
      <c r="R70" s="63"/>
      <c r="S70" s="277"/>
      <c r="T70" s="75"/>
      <c r="U70" s="75"/>
      <c r="V70" s="75"/>
      <c r="W70" s="75"/>
      <c r="X70" s="75"/>
    </row>
    <row r="71" spans="1:24" ht="26.4" x14ac:dyDescent="0.25">
      <c r="A71" s="107" t="s">
        <v>262</v>
      </c>
      <c r="B71" s="38">
        <v>900.71921529999997</v>
      </c>
      <c r="C71" s="38">
        <v>789.48179663999997</v>
      </c>
      <c r="D71" s="38">
        <v>117.53461465999999</v>
      </c>
      <c r="E71" s="38"/>
      <c r="F71" s="38"/>
      <c r="G71" s="38"/>
      <c r="H71" s="38">
        <v>859.91270351000003</v>
      </c>
      <c r="I71" s="38">
        <v>743.79430185000001</v>
      </c>
      <c r="J71" s="38">
        <v>123.16079166</v>
      </c>
      <c r="K71" s="38">
        <f>SUM(K72:K77)</f>
        <v>0</v>
      </c>
      <c r="L71" s="38">
        <f>SUM(L72:L77)</f>
        <v>0</v>
      </c>
      <c r="M71" s="38">
        <f>SUM(M72:M77)</f>
        <v>0</v>
      </c>
      <c r="N71" s="38">
        <f t="shared" si="20"/>
        <v>-40.806511789999945</v>
      </c>
      <c r="O71" s="38">
        <f t="shared" si="20"/>
        <v>-45.68749478999996</v>
      </c>
      <c r="P71" s="38">
        <f t="shared" si="20"/>
        <v>5.6261770000000126</v>
      </c>
      <c r="Q71" s="38">
        <f t="shared" si="21"/>
        <v>-4.5304364664196299</v>
      </c>
      <c r="R71" s="38">
        <f t="shared" si="21"/>
        <v>-5.7870232074309911</v>
      </c>
      <c r="S71" s="39">
        <f t="shared" si="21"/>
        <v>4.7868255800856758</v>
      </c>
    </row>
    <row r="72" spans="1:24" x14ac:dyDescent="0.25">
      <c r="A72" s="270" t="s">
        <v>263</v>
      </c>
      <c r="B72" s="32">
        <v>0</v>
      </c>
      <c r="C72" s="32">
        <v>0</v>
      </c>
      <c r="D72" s="32">
        <v>0</v>
      </c>
      <c r="E72" s="32"/>
      <c r="F72" s="32"/>
      <c r="G72" s="32"/>
      <c r="H72" s="32">
        <v>5.0000000000000001E-3</v>
      </c>
      <c r="I72" s="32">
        <v>0</v>
      </c>
      <c r="J72" s="32">
        <v>5.0000000000000001E-3</v>
      </c>
      <c r="K72" s="32"/>
      <c r="L72" s="32"/>
      <c r="M72" s="32"/>
      <c r="N72" s="32">
        <f t="shared" si="20"/>
        <v>5.0000000000000001E-3</v>
      </c>
      <c r="O72" s="32">
        <f t="shared" si="20"/>
        <v>0</v>
      </c>
      <c r="P72" s="32">
        <f t="shared" si="20"/>
        <v>5.0000000000000001E-3</v>
      </c>
      <c r="Q72" s="54" t="s">
        <v>30</v>
      </c>
      <c r="R72" s="54" t="s">
        <v>30</v>
      </c>
      <c r="S72" s="50" t="s">
        <v>30</v>
      </c>
    </row>
    <row r="73" spans="1:24" ht="39.6" x14ac:dyDescent="0.25">
      <c r="A73" s="270" t="s">
        <v>264</v>
      </c>
      <c r="B73" s="32">
        <v>243.95236488</v>
      </c>
      <c r="C73" s="32">
        <v>142.65684655999999</v>
      </c>
      <c r="D73" s="32">
        <f>109.33518129-D74</f>
        <v>106.99271431999999</v>
      </c>
      <c r="E73" s="32"/>
      <c r="F73" s="32"/>
      <c r="G73" s="32"/>
      <c r="H73" s="32">
        <v>245.27248684</v>
      </c>
      <c r="I73" s="32">
        <v>136.53736886000002</v>
      </c>
      <c r="J73" s="32">
        <f>116.84234874-J74</f>
        <v>115.17750798</v>
      </c>
      <c r="K73" s="32"/>
      <c r="L73" s="32"/>
      <c r="M73" s="32"/>
      <c r="N73" s="32">
        <f t="shared" si="20"/>
        <v>1.3201219599999945</v>
      </c>
      <c r="O73" s="32">
        <f t="shared" si="20"/>
        <v>-6.119477699999976</v>
      </c>
      <c r="P73" s="32">
        <f t="shared" si="20"/>
        <v>8.1847936600000111</v>
      </c>
      <c r="Q73" s="32">
        <f t="shared" si="21"/>
        <v>0.54113923455892632</v>
      </c>
      <c r="R73" s="32">
        <f t="shared" si="21"/>
        <v>-4.2896487953883025</v>
      </c>
      <c r="S73" s="34">
        <f t="shared" si="21"/>
        <v>7.649860751752172</v>
      </c>
    </row>
    <row r="74" spans="1:24" s="76" customFormat="1" hidden="1" x14ac:dyDescent="0.25">
      <c r="A74" s="276" t="s">
        <v>323</v>
      </c>
      <c r="B74" s="63">
        <v>0</v>
      </c>
      <c r="C74" s="63">
        <v>5.6971959999999999</v>
      </c>
      <c r="D74" s="63">
        <v>2.3424669699999998</v>
      </c>
      <c r="E74" s="63"/>
      <c r="F74" s="63"/>
      <c r="G74" s="63"/>
      <c r="H74" s="63">
        <v>0</v>
      </c>
      <c r="I74" s="63">
        <v>6.4423899999999996</v>
      </c>
      <c r="J74" s="63">
        <v>1.6648407600000001</v>
      </c>
      <c r="K74" s="63"/>
      <c r="L74" s="63"/>
      <c r="M74" s="63"/>
      <c r="N74" s="63"/>
      <c r="O74" s="63"/>
      <c r="P74" s="63"/>
      <c r="Q74" s="63"/>
      <c r="R74" s="63"/>
      <c r="S74" s="277"/>
      <c r="T74" s="75"/>
      <c r="U74" s="75"/>
      <c r="V74" s="75"/>
      <c r="W74" s="75"/>
      <c r="X74" s="75"/>
    </row>
    <row r="75" spans="1:24" x14ac:dyDescent="0.25">
      <c r="A75" s="270" t="s">
        <v>265</v>
      </c>
      <c r="B75" s="32">
        <v>656.16521951000004</v>
      </c>
      <c r="C75" s="32">
        <v>646.82495008000001</v>
      </c>
      <c r="D75" s="32">
        <f>11.01186061-D76</f>
        <v>9.940269429999999</v>
      </c>
      <c r="E75" s="32"/>
      <c r="F75" s="32"/>
      <c r="G75" s="32"/>
      <c r="H75" s="32">
        <v>614.24562142999991</v>
      </c>
      <c r="I75" s="32">
        <v>607.25693299</v>
      </c>
      <c r="J75" s="32">
        <f>9.22884646-J76</f>
        <v>7.5886884399999994</v>
      </c>
      <c r="K75" s="32"/>
      <c r="L75" s="32"/>
      <c r="M75" s="32"/>
      <c r="N75" s="32">
        <f t="shared" si="20"/>
        <v>-41.919598080000128</v>
      </c>
      <c r="O75" s="32">
        <f t="shared" si="20"/>
        <v>-39.568017090000012</v>
      </c>
      <c r="P75" s="32">
        <f t="shared" si="20"/>
        <v>-2.3515809899999995</v>
      </c>
      <c r="Q75" s="32">
        <f t="shared" si="21"/>
        <v>-6.3885736143260061</v>
      </c>
      <c r="R75" s="32">
        <f t="shared" si="21"/>
        <v>-6.1172682168654973</v>
      </c>
      <c r="S75" s="34">
        <f t="shared" si="21"/>
        <v>-23.657115197530402</v>
      </c>
    </row>
    <row r="76" spans="1:24" s="76" customFormat="1" hidden="1" x14ac:dyDescent="0.25">
      <c r="A76" s="276" t="s">
        <v>323</v>
      </c>
      <c r="B76" s="63">
        <v>0</v>
      </c>
      <c r="C76" s="63">
        <v>0.6</v>
      </c>
      <c r="D76" s="63">
        <v>1.07159118</v>
      </c>
      <c r="E76" s="63"/>
      <c r="F76" s="63"/>
      <c r="G76" s="63"/>
      <c r="H76" s="63">
        <v>0</v>
      </c>
      <c r="I76" s="63">
        <v>0.6</v>
      </c>
      <c r="J76" s="63">
        <v>1.6401580200000001</v>
      </c>
      <c r="K76" s="63"/>
      <c r="L76" s="63"/>
      <c r="M76" s="63"/>
      <c r="N76" s="63"/>
      <c r="O76" s="63"/>
      <c r="P76" s="63"/>
      <c r="Q76" s="63"/>
      <c r="R76" s="63"/>
      <c r="S76" s="277"/>
      <c r="T76" s="75"/>
      <c r="U76" s="75"/>
      <c r="V76" s="75"/>
      <c r="W76" s="75"/>
      <c r="X76" s="75"/>
    </row>
    <row r="77" spans="1:24" ht="25.5" customHeight="1" x14ac:dyDescent="0.25">
      <c r="A77" s="270" t="s">
        <v>266</v>
      </c>
      <c r="B77" s="32">
        <v>0.60163091000000002</v>
      </c>
      <c r="C77" s="32">
        <v>0</v>
      </c>
      <c r="D77" s="32">
        <v>0.60163091000000002</v>
      </c>
      <c r="E77" s="32"/>
      <c r="F77" s="32"/>
      <c r="G77" s="32"/>
      <c r="H77" s="32">
        <v>0.38959524000000001</v>
      </c>
      <c r="I77" s="32">
        <v>0</v>
      </c>
      <c r="J77" s="32">
        <v>0.38959524000000001</v>
      </c>
      <c r="K77" s="32"/>
      <c r="L77" s="32"/>
      <c r="M77" s="32"/>
      <c r="N77" s="32">
        <f t="shared" ref="N77:P168" si="25">H77-B77</f>
        <v>-0.21203567000000001</v>
      </c>
      <c r="O77" s="32">
        <f t="shared" si="25"/>
        <v>0</v>
      </c>
      <c r="P77" s="32">
        <f t="shared" si="25"/>
        <v>-0.21203567000000001</v>
      </c>
      <c r="Q77" s="32">
        <f t="shared" ref="Q77:R168" si="26">H77/B77%-100</f>
        <v>-35.243480093135517</v>
      </c>
      <c r="R77" s="54" t="s">
        <v>30</v>
      </c>
      <c r="S77" s="34">
        <f t="shared" ref="S77:S168" si="27">J77/D77%-100</f>
        <v>-35.243480093135517</v>
      </c>
    </row>
    <row r="78" spans="1:24" x14ac:dyDescent="0.25">
      <c r="A78" s="107" t="s">
        <v>267</v>
      </c>
      <c r="B78" s="38">
        <v>7986.70340201</v>
      </c>
      <c r="C78" s="38">
        <v>6882.12060363</v>
      </c>
      <c r="D78" s="38">
        <v>1555.10478362</v>
      </c>
      <c r="E78" s="38"/>
      <c r="F78" s="38"/>
      <c r="G78" s="38"/>
      <c r="H78" s="38">
        <v>7270.2409389200002</v>
      </c>
      <c r="I78" s="38">
        <v>6244.2472786799999</v>
      </c>
      <c r="J78" s="38">
        <v>1157.8236124100001</v>
      </c>
      <c r="K78" s="38"/>
      <c r="L78" s="38"/>
      <c r="M78" s="38"/>
      <c r="N78" s="38">
        <f t="shared" si="25"/>
        <v>-716.4624630899998</v>
      </c>
      <c r="O78" s="38">
        <f t="shared" si="25"/>
        <v>-637.8733249500001</v>
      </c>
      <c r="P78" s="38">
        <f t="shared" si="25"/>
        <v>-397.28117120999991</v>
      </c>
      <c r="Q78" s="38">
        <f t="shared" si="26"/>
        <v>-8.9706907471947517</v>
      </c>
      <c r="R78" s="38">
        <f t="shared" si="26"/>
        <v>-9.2685577845519163</v>
      </c>
      <c r="S78" s="39">
        <f t="shared" si="27"/>
        <v>-25.546906896215816</v>
      </c>
    </row>
    <row r="79" spans="1:24" x14ac:dyDescent="0.25">
      <c r="A79" s="270" t="s">
        <v>268</v>
      </c>
      <c r="B79" s="32">
        <v>395.40833282</v>
      </c>
      <c r="C79" s="32">
        <v>395.32245358</v>
      </c>
      <c r="D79" s="32">
        <v>8.5879239999999996E-2</v>
      </c>
      <c r="E79" s="32"/>
      <c r="F79" s="32"/>
      <c r="G79" s="32"/>
      <c r="H79" s="32">
        <v>352.55912276999999</v>
      </c>
      <c r="I79" s="32">
        <v>352.47258476999997</v>
      </c>
      <c r="J79" s="32">
        <v>8.6538000000000004E-2</v>
      </c>
      <c r="K79" s="32"/>
      <c r="L79" s="32"/>
      <c r="M79" s="32"/>
      <c r="N79" s="32">
        <f t="shared" si="25"/>
        <v>-42.849210050000011</v>
      </c>
      <c r="O79" s="32">
        <f t="shared" si="25"/>
        <v>-42.849868810000032</v>
      </c>
      <c r="P79" s="32">
        <f t="shared" si="25"/>
        <v>6.5876000000000823E-4</v>
      </c>
      <c r="Q79" s="32">
        <f t="shared" si="26"/>
        <v>-10.836698798026106</v>
      </c>
      <c r="R79" s="32">
        <f t="shared" si="26"/>
        <v>-10.839219584406592</v>
      </c>
      <c r="S79" s="34">
        <f t="shared" si="27"/>
        <v>0.76707711898708908</v>
      </c>
    </row>
    <row r="80" spans="1:24" x14ac:dyDescent="0.25">
      <c r="A80" s="270" t="s">
        <v>269</v>
      </c>
      <c r="B80" s="32">
        <v>45.043943799999994</v>
      </c>
      <c r="C80" s="32">
        <v>41.617313709999998</v>
      </c>
      <c r="D80" s="32">
        <f>3.42663009-D81</f>
        <v>3.4266300900000002</v>
      </c>
      <c r="E80" s="32"/>
      <c r="F80" s="32"/>
      <c r="G80" s="32"/>
      <c r="H80" s="32">
        <v>43.311714000000002</v>
      </c>
      <c r="I80" s="32">
        <v>39.60137933</v>
      </c>
      <c r="J80" s="32">
        <v>3.7103346699999999</v>
      </c>
      <c r="K80" s="32"/>
      <c r="L80" s="32"/>
      <c r="M80" s="32"/>
      <c r="N80" s="32">
        <f t="shared" si="25"/>
        <v>-1.7322297999999918</v>
      </c>
      <c r="O80" s="32">
        <f t="shared" si="25"/>
        <v>-2.0159343799999974</v>
      </c>
      <c r="P80" s="32">
        <f t="shared" si="25"/>
        <v>0.28370457999999976</v>
      </c>
      <c r="Q80" s="32">
        <f t="shared" si="26"/>
        <v>-3.8456441729242812</v>
      </c>
      <c r="R80" s="32">
        <f t="shared" si="26"/>
        <v>-4.8439800657186538</v>
      </c>
      <c r="S80" s="34">
        <f t="shared" si="27"/>
        <v>8.2794049123639013</v>
      </c>
    </row>
    <row r="81" spans="1:24" s="76" customFormat="1" hidden="1" x14ac:dyDescent="0.25">
      <c r="A81" s="276" t="s">
        <v>323</v>
      </c>
      <c r="B81" s="63">
        <v>0</v>
      </c>
      <c r="C81" s="63">
        <v>0</v>
      </c>
      <c r="D81" s="63">
        <v>0</v>
      </c>
      <c r="E81" s="63"/>
      <c r="F81" s="63"/>
      <c r="G81" s="63"/>
      <c r="H81" s="63">
        <v>0</v>
      </c>
      <c r="I81" s="63">
        <v>0</v>
      </c>
      <c r="J81" s="63">
        <v>0</v>
      </c>
      <c r="K81" s="63"/>
      <c r="L81" s="63"/>
      <c r="M81" s="63"/>
      <c r="N81" s="63">
        <f t="shared" si="25"/>
        <v>0</v>
      </c>
      <c r="O81" s="63">
        <f t="shared" si="25"/>
        <v>0</v>
      </c>
      <c r="P81" s="63"/>
      <c r="Q81" s="63"/>
      <c r="R81" s="63"/>
      <c r="S81" s="277"/>
      <c r="T81" s="75"/>
      <c r="U81" s="75"/>
      <c r="V81" s="75"/>
      <c r="W81" s="75"/>
      <c r="X81" s="75"/>
    </row>
    <row r="82" spans="1:24" x14ac:dyDescent="0.25">
      <c r="A82" s="270" t="s">
        <v>270</v>
      </c>
      <c r="B82" s="32">
        <v>905.87698286</v>
      </c>
      <c r="C82" s="32">
        <v>897.24219157000005</v>
      </c>
      <c r="D82" s="32">
        <f>8.63479129-D83</f>
        <v>8.6347912900000008</v>
      </c>
      <c r="E82" s="32"/>
      <c r="F82" s="32"/>
      <c r="G82" s="32"/>
      <c r="H82" s="32">
        <v>781.07847439</v>
      </c>
      <c r="I82" s="32">
        <v>773.46783830999993</v>
      </c>
      <c r="J82" s="32">
        <f>7.96873608-J83</f>
        <v>7.7906360800000005</v>
      </c>
      <c r="K82" s="32"/>
      <c r="L82" s="32"/>
      <c r="M82" s="32"/>
      <c r="N82" s="32">
        <f t="shared" si="25"/>
        <v>-124.79850847</v>
      </c>
      <c r="O82" s="32">
        <f t="shared" si="25"/>
        <v>-123.77435326000011</v>
      </c>
      <c r="P82" s="32">
        <f t="shared" si="25"/>
        <v>-0.84415521000000027</v>
      </c>
      <c r="Q82" s="32">
        <f t="shared" si="26"/>
        <v>-13.776540394700262</v>
      </c>
      <c r="R82" s="32">
        <f t="shared" si="26"/>
        <v>-13.794976921829644</v>
      </c>
      <c r="S82" s="34">
        <f t="shared" si="27"/>
        <v>-9.7762086152287253</v>
      </c>
    </row>
    <row r="83" spans="1:24" s="76" customFormat="1" hidden="1" x14ac:dyDescent="0.25">
      <c r="A83" s="276" t="s">
        <v>323</v>
      </c>
      <c r="B83" s="63">
        <v>0</v>
      </c>
      <c r="C83" s="63">
        <v>0</v>
      </c>
      <c r="D83" s="63">
        <v>0</v>
      </c>
      <c r="E83" s="63"/>
      <c r="F83" s="63"/>
      <c r="G83" s="63"/>
      <c r="H83" s="63">
        <v>0</v>
      </c>
      <c r="I83" s="63">
        <v>0.18</v>
      </c>
      <c r="J83" s="63">
        <v>0.17810000000000001</v>
      </c>
      <c r="K83" s="63"/>
      <c r="L83" s="63"/>
      <c r="M83" s="63"/>
      <c r="N83" s="63"/>
      <c r="O83" s="63"/>
      <c r="P83" s="63"/>
      <c r="Q83" s="63"/>
      <c r="R83" s="63"/>
      <c r="S83" s="277"/>
      <c r="T83" s="75"/>
      <c r="U83" s="75"/>
      <c r="V83" s="75"/>
      <c r="W83" s="75"/>
      <c r="X83" s="75"/>
    </row>
    <row r="84" spans="1:24" x14ac:dyDescent="0.25">
      <c r="A84" s="270" t="s">
        <v>271</v>
      </c>
      <c r="B84" s="32">
        <v>4.2527792699999996</v>
      </c>
      <c r="C84" s="32">
        <v>1.42639323</v>
      </c>
      <c r="D84" s="32">
        <f>2.82638604-D85</f>
        <v>2.82638604</v>
      </c>
      <c r="E84" s="32"/>
      <c r="F84" s="32"/>
      <c r="G84" s="32"/>
      <c r="H84" s="32">
        <v>103.47714054000001</v>
      </c>
      <c r="I84" s="32">
        <v>100.72314054</v>
      </c>
      <c r="J84" s="32">
        <f>5.508-J85</f>
        <v>2.754</v>
      </c>
      <c r="K84" s="32"/>
      <c r="L84" s="32"/>
      <c r="M84" s="32"/>
      <c r="N84" s="32">
        <f t="shared" si="25"/>
        <v>99.224361270000003</v>
      </c>
      <c r="O84" s="32">
        <f t="shared" si="25"/>
        <v>99.296747310000001</v>
      </c>
      <c r="P84" s="32">
        <f t="shared" si="25"/>
        <v>-7.238604000000004E-2</v>
      </c>
      <c r="Q84" s="32">
        <f t="shared" si="26"/>
        <v>2333.1650897085005</v>
      </c>
      <c r="R84" s="32">
        <f t="shared" si="26"/>
        <v>6961.3866093573661</v>
      </c>
      <c r="S84" s="34">
        <f t="shared" si="27"/>
        <v>-2.5610811465796814</v>
      </c>
    </row>
    <row r="85" spans="1:24" s="76" customFormat="1" hidden="1" x14ac:dyDescent="0.25">
      <c r="A85" s="276" t="s">
        <v>323</v>
      </c>
      <c r="B85" s="63">
        <v>0</v>
      </c>
      <c r="C85" s="63">
        <v>0</v>
      </c>
      <c r="D85" s="63">
        <v>0</v>
      </c>
      <c r="E85" s="63"/>
      <c r="F85" s="63"/>
      <c r="G85" s="63"/>
      <c r="H85" s="63">
        <v>0</v>
      </c>
      <c r="I85" s="63">
        <v>0</v>
      </c>
      <c r="J85" s="63">
        <v>2.754</v>
      </c>
      <c r="K85" s="63"/>
      <c r="L85" s="63"/>
      <c r="M85" s="63"/>
      <c r="N85" s="63"/>
      <c r="O85" s="63"/>
      <c r="P85" s="63"/>
      <c r="Q85" s="63"/>
      <c r="R85" s="63"/>
      <c r="S85" s="277"/>
      <c r="T85" s="75"/>
      <c r="U85" s="75"/>
      <c r="V85" s="75"/>
      <c r="W85" s="75"/>
      <c r="X85" s="75"/>
    </row>
    <row r="86" spans="1:24" x14ac:dyDescent="0.25">
      <c r="A86" s="270" t="s">
        <v>272</v>
      </c>
      <c r="B86" s="32">
        <v>619.17615732000002</v>
      </c>
      <c r="C86" s="32">
        <v>619.17615732000002</v>
      </c>
      <c r="D86" s="32">
        <v>0</v>
      </c>
      <c r="E86" s="32"/>
      <c r="F86" s="32"/>
      <c r="G86" s="32"/>
      <c r="H86" s="32">
        <v>553.29067549000001</v>
      </c>
      <c r="I86" s="32">
        <v>553.29067549000001</v>
      </c>
      <c r="J86" s="32">
        <v>0</v>
      </c>
      <c r="K86" s="32"/>
      <c r="L86" s="32"/>
      <c r="M86" s="32"/>
      <c r="N86" s="32">
        <f t="shared" si="25"/>
        <v>-65.885481830000003</v>
      </c>
      <c r="O86" s="32">
        <f t="shared" si="25"/>
        <v>-65.885481830000003</v>
      </c>
      <c r="P86" s="32">
        <f t="shared" si="25"/>
        <v>0</v>
      </c>
      <c r="Q86" s="32">
        <f t="shared" si="26"/>
        <v>-10.640829923938639</v>
      </c>
      <c r="R86" s="32">
        <f t="shared" si="26"/>
        <v>-10.640829923938639</v>
      </c>
      <c r="S86" s="50" t="s">
        <v>30</v>
      </c>
    </row>
    <row r="87" spans="1:24" x14ac:dyDescent="0.25">
      <c r="A87" s="270" t="s">
        <v>273</v>
      </c>
      <c r="B87" s="32">
        <v>494.23580773000003</v>
      </c>
      <c r="C87" s="32">
        <v>381.14353117000002</v>
      </c>
      <c r="D87" s="32">
        <f>117.57454965-D88</f>
        <v>116.44559255999999</v>
      </c>
      <c r="E87" s="32"/>
      <c r="F87" s="32"/>
      <c r="G87" s="32"/>
      <c r="H87" s="32">
        <v>418.74634543000002</v>
      </c>
      <c r="I87" s="32">
        <v>339.28640731999997</v>
      </c>
      <c r="J87" s="32">
        <f>80.0664692-J88</f>
        <v>79.709938109999996</v>
      </c>
      <c r="K87" s="32"/>
      <c r="L87" s="32"/>
      <c r="M87" s="32"/>
      <c r="N87" s="32">
        <f t="shared" si="25"/>
        <v>-75.489462300000014</v>
      </c>
      <c r="O87" s="32">
        <f t="shared" si="25"/>
        <v>-41.85712385000005</v>
      </c>
      <c r="P87" s="32">
        <f t="shared" si="25"/>
        <v>-36.735654449999998</v>
      </c>
      <c r="Q87" s="32">
        <f t="shared" si="26"/>
        <v>-15.27397673728241</v>
      </c>
      <c r="R87" s="32">
        <f t="shared" si="26"/>
        <v>-10.981984587672486</v>
      </c>
      <c r="S87" s="34">
        <f t="shared" si="27"/>
        <v>-31.547483801133581</v>
      </c>
    </row>
    <row r="88" spans="1:24" s="76" customFormat="1" hidden="1" x14ac:dyDescent="0.25">
      <c r="A88" s="276" t="s">
        <v>323</v>
      </c>
      <c r="B88" s="63">
        <v>0</v>
      </c>
      <c r="C88" s="63">
        <v>3.353316</v>
      </c>
      <c r="D88" s="63">
        <v>1.1289570900000001</v>
      </c>
      <c r="E88" s="63"/>
      <c r="F88" s="63"/>
      <c r="G88" s="63"/>
      <c r="H88" s="63">
        <v>0</v>
      </c>
      <c r="I88" s="63">
        <v>0.25</v>
      </c>
      <c r="J88" s="63">
        <v>0.35653109000000005</v>
      </c>
      <c r="K88" s="63"/>
      <c r="L88" s="63"/>
      <c r="M88" s="63"/>
      <c r="N88" s="63"/>
      <c r="O88" s="63"/>
      <c r="P88" s="63"/>
      <c r="Q88" s="63"/>
      <c r="R88" s="63"/>
      <c r="S88" s="277"/>
      <c r="T88" s="75"/>
      <c r="U88" s="75"/>
      <c r="V88" s="75"/>
      <c r="W88" s="75"/>
      <c r="X88" s="75"/>
    </row>
    <row r="89" spans="1:24" x14ac:dyDescent="0.25">
      <c r="A89" s="270" t="s">
        <v>274</v>
      </c>
      <c r="B89" s="32">
        <v>5280.0146013100002</v>
      </c>
      <c r="C89" s="32">
        <v>4377.6803732799999</v>
      </c>
      <c r="D89" s="32">
        <f>1453.24347309-D90</f>
        <v>1345.3199201899999</v>
      </c>
      <c r="E89" s="32"/>
      <c r="F89" s="32"/>
      <c r="G89" s="32"/>
      <c r="H89" s="32">
        <v>4628.2926861000005</v>
      </c>
      <c r="I89" s="32">
        <v>3769.7959684400003</v>
      </c>
      <c r="J89" s="32">
        <f>1049.88378474-J90</f>
        <v>980.73880495000003</v>
      </c>
      <c r="K89" s="32"/>
      <c r="L89" s="32"/>
      <c r="M89" s="32"/>
      <c r="N89" s="32">
        <f t="shared" si="25"/>
        <v>-651.72191520999968</v>
      </c>
      <c r="O89" s="32">
        <f t="shared" si="25"/>
        <v>-607.88440483999966</v>
      </c>
      <c r="P89" s="32">
        <f t="shared" si="25"/>
        <v>-364.58111523999992</v>
      </c>
      <c r="Q89" s="32">
        <f t="shared" si="26"/>
        <v>-12.343183957262241</v>
      </c>
      <c r="R89" s="32">
        <f t="shared" si="26"/>
        <v>-13.885993334514254</v>
      </c>
      <c r="S89" s="34">
        <f t="shared" si="27"/>
        <v>-27.099956654808921</v>
      </c>
    </row>
    <row r="90" spans="1:24" s="76" customFormat="1" hidden="1" x14ac:dyDescent="0.25">
      <c r="A90" s="276" t="s">
        <v>323</v>
      </c>
      <c r="B90" s="63">
        <v>0</v>
      </c>
      <c r="C90" s="63">
        <v>442.98569216000004</v>
      </c>
      <c r="D90" s="63">
        <v>107.92355289999999</v>
      </c>
      <c r="E90" s="63"/>
      <c r="F90" s="63"/>
      <c r="G90" s="63"/>
      <c r="H90" s="63">
        <v>1.0821799999999999E-2</v>
      </c>
      <c r="I90" s="63">
        <v>122.25290909</v>
      </c>
      <c r="J90" s="63">
        <v>69.144979790000008</v>
      </c>
      <c r="K90" s="63"/>
      <c r="L90" s="63"/>
      <c r="M90" s="63"/>
      <c r="N90" s="63">
        <f t="shared" ref="N90" si="28">H90-B90</f>
        <v>1.0821799999999999E-2</v>
      </c>
      <c r="O90" s="63">
        <f t="shared" ref="O90" si="29">I90-C90</f>
        <v>-320.73278307000004</v>
      </c>
      <c r="P90" s="63">
        <f t="shared" ref="P90" si="30">J90-D90</f>
        <v>-38.778573109999982</v>
      </c>
      <c r="Q90" s="63" t="e">
        <f t="shared" ref="Q90" si="31">H90/B90%-100</f>
        <v>#DIV/0!</v>
      </c>
      <c r="R90" s="63">
        <f t="shared" ref="R90" si="32">I90/C90%-100</f>
        <v>-72.402515193234734</v>
      </c>
      <c r="S90" s="277">
        <f t="shared" ref="S90" si="33">J90/D90%-100</f>
        <v>-35.931520106580919</v>
      </c>
      <c r="T90" s="75"/>
      <c r="U90" s="75"/>
      <c r="V90" s="75"/>
      <c r="W90" s="75"/>
      <c r="X90" s="75"/>
    </row>
    <row r="91" spans="1:24" x14ac:dyDescent="0.25">
      <c r="A91" s="270" t="s">
        <v>275</v>
      </c>
      <c r="B91" s="32">
        <v>13.33195752</v>
      </c>
      <c r="C91" s="32">
        <v>11.60559752</v>
      </c>
      <c r="D91" s="32">
        <v>1.7263599999999999</v>
      </c>
      <c r="E91" s="32"/>
      <c r="F91" s="32"/>
      <c r="G91" s="32"/>
      <c r="H91" s="32">
        <v>22.736085769999999</v>
      </c>
      <c r="I91" s="32">
        <v>21.139203769999998</v>
      </c>
      <c r="J91" s="32">
        <v>1.5968819999999999</v>
      </c>
      <c r="K91" s="32"/>
      <c r="L91" s="32"/>
      <c r="M91" s="32"/>
      <c r="N91" s="32">
        <f t="shared" si="25"/>
        <v>9.4041282499999994</v>
      </c>
      <c r="O91" s="32">
        <f t="shared" si="25"/>
        <v>9.5336062499999983</v>
      </c>
      <c r="P91" s="32">
        <f t="shared" si="25"/>
        <v>-0.12947799999999998</v>
      </c>
      <c r="Q91" s="32">
        <f t="shared" si="26"/>
        <v>70.538240433877434</v>
      </c>
      <c r="R91" s="32">
        <f t="shared" si="26"/>
        <v>82.14662134862661</v>
      </c>
      <c r="S91" s="34">
        <f t="shared" si="27"/>
        <v>-7.5000579253458284</v>
      </c>
      <c r="U91" s="7">
        <f>I91/C91</f>
        <v>1.821466213486266</v>
      </c>
    </row>
    <row r="92" spans="1:24" ht="26.4" x14ac:dyDescent="0.25">
      <c r="A92" s="270" t="s">
        <v>276</v>
      </c>
      <c r="B92" s="32">
        <v>229.36283938</v>
      </c>
      <c r="C92" s="32">
        <v>156.90659224999999</v>
      </c>
      <c r="D92" s="32">
        <f>80.61268479-D93</f>
        <v>76.639224210000009</v>
      </c>
      <c r="E92" s="32"/>
      <c r="F92" s="32"/>
      <c r="G92" s="32"/>
      <c r="H92" s="32">
        <v>366.74869443</v>
      </c>
      <c r="I92" s="32">
        <v>294.47008070999999</v>
      </c>
      <c r="J92" s="32">
        <f>86.66026706-J93</f>
        <v>81.436478600000001</v>
      </c>
      <c r="K92" s="32"/>
      <c r="L92" s="32"/>
      <c r="M92" s="32"/>
      <c r="N92" s="32">
        <f t="shared" si="25"/>
        <v>137.38585505</v>
      </c>
      <c r="O92" s="32">
        <f t="shared" si="25"/>
        <v>137.56348846</v>
      </c>
      <c r="P92" s="32">
        <f t="shared" si="25"/>
        <v>4.797254389999992</v>
      </c>
      <c r="Q92" s="32">
        <f t="shared" si="26"/>
        <v>59.898916241782359</v>
      </c>
      <c r="R92" s="32">
        <f t="shared" si="26"/>
        <v>87.672217264663715</v>
      </c>
      <c r="S92" s="34">
        <f t="shared" si="27"/>
        <v>6.2595289023998646</v>
      </c>
    </row>
    <row r="93" spans="1:24" s="76" customFormat="1" hidden="1" x14ac:dyDescent="0.25">
      <c r="A93" s="276" t="s">
        <v>323</v>
      </c>
      <c r="B93" s="63">
        <v>0</v>
      </c>
      <c r="C93" s="63">
        <v>4.1829770799999997</v>
      </c>
      <c r="D93" s="63">
        <v>3.9734605800000002</v>
      </c>
      <c r="E93" s="63"/>
      <c r="F93" s="63"/>
      <c r="G93" s="63"/>
      <c r="H93" s="63">
        <v>0</v>
      </c>
      <c r="I93" s="63">
        <v>9.15786488</v>
      </c>
      <c r="J93" s="63">
        <v>5.2237884599999997</v>
      </c>
      <c r="K93" s="63"/>
      <c r="L93" s="63"/>
      <c r="M93" s="63"/>
      <c r="N93" s="63"/>
      <c r="O93" s="63"/>
      <c r="P93" s="63"/>
      <c r="Q93" s="63"/>
      <c r="R93" s="63"/>
      <c r="S93" s="277"/>
      <c r="T93" s="75"/>
      <c r="U93" s="75"/>
      <c r="V93" s="75"/>
      <c r="W93" s="75"/>
      <c r="X93" s="75"/>
    </row>
    <row r="94" spans="1:24" x14ac:dyDescent="0.25">
      <c r="A94" s="107" t="s">
        <v>277</v>
      </c>
      <c r="B94" s="38">
        <v>5562.8109091199995</v>
      </c>
      <c r="C94" s="38">
        <v>4237.1958522300001</v>
      </c>
      <c r="D94" s="38">
        <v>2250.7830144299996</v>
      </c>
      <c r="E94" s="38"/>
      <c r="F94" s="38"/>
      <c r="G94" s="38"/>
      <c r="H94" s="38">
        <v>6682.4282698799998</v>
      </c>
      <c r="I94" s="38">
        <v>5365.2717191499996</v>
      </c>
      <c r="J94" s="38">
        <v>2272.4003597300002</v>
      </c>
      <c r="K94" s="38"/>
      <c r="L94" s="38"/>
      <c r="M94" s="38"/>
      <c r="N94" s="38">
        <f t="shared" si="25"/>
        <v>1119.6173607600003</v>
      </c>
      <c r="O94" s="38">
        <f t="shared" si="25"/>
        <v>1128.0758669199995</v>
      </c>
      <c r="P94" s="38">
        <f t="shared" si="25"/>
        <v>21.617345300000579</v>
      </c>
      <c r="Q94" s="38">
        <f t="shared" si="26"/>
        <v>20.126827588628501</v>
      </c>
      <c r="R94" s="38">
        <f t="shared" si="26"/>
        <v>26.62317028197559</v>
      </c>
      <c r="S94" s="39">
        <f t="shared" si="27"/>
        <v>0.96043666410352557</v>
      </c>
    </row>
    <row r="95" spans="1:24" x14ac:dyDescent="0.25">
      <c r="A95" s="270" t="s">
        <v>278</v>
      </c>
      <c r="B95" s="32">
        <v>2080.46710957</v>
      </c>
      <c r="C95" s="32">
        <v>1477.94012744</v>
      </c>
      <c r="D95" s="32">
        <f>1598.67598693-D96</f>
        <v>1267.5322445799998</v>
      </c>
      <c r="E95" s="32"/>
      <c r="F95" s="32"/>
      <c r="G95" s="32"/>
      <c r="H95" s="32">
        <v>2866.7018534499998</v>
      </c>
      <c r="I95" s="32">
        <v>2207.7375987300002</v>
      </c>
      <c r="J95" s="32">
        <f>1666.49295278-J96</f>
        <v>1546.1592763799999</v>
      </c>
      <c r="K95" s="32"/>
      <c r="L95" s="32"/>
      <c r="M95" s="32"/>
      <c r="N95" s="32">
        <f t="shared" si="25"/>
        <v>786.23474387999977</v>
      </c>
      <c r="O95" s="32">
        <f t="shared" si="25"/>
        <v>729.7974712900002</v>
      </c>
      <c r="P95" s="32">
        <f t="shared" si="25"/>
        <v>278.62703180000017</v>
      </c>
      <c r="Q95" s="32">
        <f t="shared" si="26"/>
        <v>37.791260446434165</v>
      </c>
      <c r="R95" s="32">
        <f t="shared" si="26"/>
        <v>49.379366439837582</v>
      </c>
      <c r="S95" s="34">
        <f t="shared" si="27"/>
        <v>21.98184961301115</v>
      </c>
    </row>
    <row r="96" spans="1:24" s="76" customFormat="1" hidden="1" x14ac:dyDescent="0.25">
      <c r="A96" s="276" t="s">
        <v>323</v>
      </c>
      <c r="B96" s="63">
        <v>0</v>
      </c>
      <c r="C96" s="63">
        <v>665.00526245000003</v>
      </c>
      <c r="D96" s="63">
        <v>331.14374235000002</v>
      </c>
      <c r="E96" s="63"/>
      <c r="F96" s="63"/>
      <c r="G96" s="63"/>
      <c r="H96" s="63">
        <v>0</v>
      </c>
      <c r="I96" s="63">
        <v>887.19502165999995</v>
      </c>
      <c r="J96" s="63">
        <v>120.3336764</v>
      </c>
      <c r="K96" s="63"/>
      <c r="L96" s="63"/>
      <c r="M96" s="63"/>
      <c r="N96" s="63"/>
      <c r="O96" s="63"/>
      <c r="P96" s="63"/>
      <c r="Q96" s="63"/>
      <c r="R96" s="63"/>
      <c r="S96" s="277"/>
      <c r="T96" s="75"/>
      <c r="U96" s="75"/>
      <c r="V96" s="75"/>
      <c r="W96" s="75"/>
      <c r="X96" s="75"/>
    </row>
    <row r="97" spans="1:24" x14ac:dyDescent="0.25">
      <c r="A97" s="270" t="s">
        <v>1152</v>
      </c>
      <c r="B97" s="32">
        <v>2827.9216530500003</v>
      </c>
      <c r="C97" s="32">
        <v>2708.6049124699998</v>
      </c>
      <c r="D97" s="32">
        <f>596.53077112-D98</f>
        <v>363.93571499000006</v>
      </c>
      <c r="E97" s="32"/>
      <c r="F97" s="32"/>
      <c r="G97" s="32"/>
      <c r="H97" s="32">
        <v>3160.56587734</v>
      </c>
      <c r="I97" s="32">
        <v>3068.0469907299998</v>
      </c>
      <c r="J97" s="32">
        <f>127.10237084-J98</f>
        <v>107.29387026000001</v>
      </c>
      <c r="K97" s="32"/>
      <c r="L97" s="32"/>
      <c r="M97" s="32"/>
      <c r="N97" s="32">
        <f t="shared" si="25"/>
        <v>332.64422428999978</v>
      </c>
      <c r="O97" s="32">
        <f t="shared" si="25"/>
        <v>359.44207826000002</v>
      </c>
      <c r="P97" s="32">
        <f t="shared" si="25"/>
        <v>-256.64184473000006</v>
      </c>
      <c r="Q97" s="32">
        <f t="shared" si="26"/>
        <v>11.762851489581863</v>
      </c>
      <c r="R97" s="32">
        <f t="shared" si="26"/>
        <v>13.270376812992708</v>
      </c>
      <c r="S97" s="34">
        <f t="shared" si="27"/>
        <v>-70.518455364308466</v>
      </c>
    </row>
    <row r="98" spans="1:24" hidden="1" x14ac:dyDescent="0.25">
      <c r="A98" s="276" t="s">
        <v>323</v>
      </c>
      <c r="B98" s="63">
        <v>0</v>
      </c>
      <c r="C98" s="63">
        <v>244.61897440999999</v>
      </c>
      <c r="D98" s="63">
        <v>232.59505612999999</v>
      </c>
      <c r="E98" s="63"/>
      <c r="F98" s="63"/>
      <c r="G98" s="63"/>
      <c r="H98" s="63">
        <v>0</v>
      </c>
      <c r="I98" s="63">
        <v>14.774983650000001</v>
      </c>
      <c r="J98" s="63">
        <v>19.808500579999997</v>
      </c>
      <c r="K98" s="32"/>
      <c r="L98" s="32"/>
      <c r="M98" s="32"/>
      <c r="N98" s="32"/>
      <c r="O98" s="32"/>
      <c r="P98" s="32"/>
      <c r="Q98" s="32"/>
      <c r="R98" s="32"/>
      <c r="S98" s="34"/>
    </row>
    <row r="99" spans="1:24" x14ac:dyDescent="0.25">
      <c r="A99" s="270" t="s">
        <v>279</v>
      </c>
      <c r="B99" s="32">
        <v>462.00154882999999</v>
      </c>
      <c r="C99" s="32">
        <v>14.143720679999999</v>
      </c>
      <c r="D99" s="32">
        <f>467.35080881-D100</f>
        <v>462.00154882999999</v>
      </c>
      <c r="E99" s="32"/>
      <c r="F99" s="32"/>
      <c r="G99" s="32"/>
      <c r="H99" s="32">
        <v>498.82804980000003</v>
      </c>
      <c r="I99" s="32">
        <v>53.273803690000001</v>
      </c>
      <c r="J99" s="32">
        <f>526.47908718-J100</f>
        <v>498.82804979999997</v>
      </c>
      <c r="K99" s="32"/>
      <c r="L99" s="32"/>
      <c r="M99" s="32"/>
      <c r="N99" s="32">
        <f t="shared" si="25"/>
        <v>36.826500970000041</v>
      </c>
      <c r="O99" s="32">
        <f t="shared" si="25"/>
        <v>39.13008301</v>
      </c>
      <c r="P99" s="32">
        <f t="shared" si="25"/>
        <v>36.826500969999984</v>
      </c>
      <c r="Q99" s="32">
        <f t="shared" si="26"/>
        <v>7.9710773834550253</v>
      </c>
      <c r="R99" s="32">
        <f t="shared" si="26"/>
        <v>276.6604622313568</v>
      </c>
      <c r="S99" s="34">
        <f t="shared" si="27"/>
        <v>7.971077383455011</v>
      </c>
    </row>
    <row r="100" spans="1:24" hidden="1" x14ac:dyDescent="0.25">
      <c r="A100" s="276" t="s">
        <v>323</v>
      </c>
      <c r="B100" s="63">
        <v>0</v>
      </c>
      <c r="C100" s="63">
        <v>14.143720679999999</v>
      </c>
      <c r="D100" s="63">
        <v>5.3492599800000002</v>
      </c>
      <c r="E100" s="63"/>
      <c r="F100" s="63"/>
      <c r="G100" s="63"/>
      <c r="H100" s="63">
        <v>0</v>
      </c>
      <c r="I100" s="63">
        <v>53.273803690000001</v>
      </c>
      <c r="J100" s="63">
        <v>27.651037379999998</v>
      </c>
      <c r="K100" s="32"/>
      <c r="L100" s="32"/>
      <c r="M100" s="32"/>
      <c r="N100" s="32"/>
      <c r="O100" s="32"/>
      <c r="P100" s="32"/>
      <c r="Q100" s="32"/>
      <c r="R100" s="32"/>
      <c r="S100" s="34"/>
    </row>
    <row r="101" spans="1:24" ht="26.4" x14ac:dyDescent="0.25">
      <c r="A101" s="270" t="s">
        <v>280</v>
      </c>
      <c r="B101" s="32">
        <v>192.42059766999998</v>
      </c>
      <c r="C101" s="32">
        <v>36.507091639999999</v>
      </c>
      <c r="D101" s="32">
        <f>158.27662649-D102</f>
        <v>157.31350603000001</v>
      </c>
      <c r="E101" s="32"/>
      <c r="F101" s="32"/>
      <c r="G101" s="32"/>
      <c r="H101" s="32">
        <v>156.33248928999998</v>
      </c>
      <c r="I101" s="32">
        <v>36.213326000000002</v>
      </c>
      <c r="J101" s="32">
        <f>120.88623029-J102</f>
        <v>120.11916329</v>
      </c>
      <c r="K101" s="32"/>
      <c r="L101" s="32"/>
      <c r="M101" s="32"/>
      <c r="N101" s="32">
        <f t="shared" si="25"/>
        <v>-36.088108379999994</v>
      </c>
      <c r="O101" s="32">
        <f t="shared" si="25"/>
        <v>-0.29376563999999661</v>
      </c>
      <c r="P101" s="32">
        <f t="shared" si="25"/>
        <v>-37.19434274000001</v>
      </c>
      <c r="Q101" s="32">
        <f t="shared" si="26"/>
        <v>-18.754805263566865</v>
      </c>
      <c r="R101" s="32">
        <f t="shared" si="26"/>
        <v>-0.80468102717370016</v>
      </c>
      <c r="S101" s="34">
        <f t="shared" si="27"/>
        <v>-23.643451651828912</v>
      </c>
    </row>
    <row r="102" spans="1:24" hidden="1" x14ac:dyDescent="0.25">
      <c r="A102" s="276" t="s">
        <v>323</v>
      </c>
      <c r="B102" s="63">
        <v>0</v>
      </c>
      <c r="C102" s="63">
        <v>1.4</v>
      </c>
      <c r="D102" s="63">
        <v>0.96312045999999996</v>
      </c>
      <c r="E102" s="63"/>
      <c r="F102" s="63"/>
      <c r="G102" s="63"/>
      <c r="H102" s="63">
        <v>0</v>
      </c>
      <c r="I102" s="63">
        <v>0</v>
      </c>
      <c r="J102" s="63">
        <v>0.76706700000000005</v>
      </c>
      <c r="K102" s="32"/>
      <c r="L102" s="32"/>
      <c r="M102" s="32"/>
      <c r="N102" s="32"/>
      <c r="O102" s="32"/>
      <c r="P102" s="32"/>
      <c r="Q102" s="32"/>
      <c r="R102" s="32"/>
      <c r="S102" s="34"/>
    </row>
    <row r="103" spans="1:24" x14ac:dyDescent="0.25">
      <c r="A103" s="271" t="s">
        <v>281</v>
      </c>
      <c r="B103" s="38">
        <v>39.687535259999997</v>
      </c>
      <c r="C103" s="38">
        <v>37.793473859999999</v>
      </c>
      <c r="D103" s="38">
        <v>1.8940614000000002</v>
      </c>
      <c r="E103" s="38"/>
      <c r="F103" s="38"/>
      <c r="G103" s="38"/>
      <c r="H103" s="38">
        <v>38.210996299999998</v>
      </c>
      <c r="I103" s="38">
        <v>37.290643770000003</v>
      </c>
      <c r="J103" s="38">
        <v>0.92035253000000006</v>
      </c>
      <c r="K103" s="38"/>
      <c r="L103" s="38"/>
      <c r="M103" s="38"/>
      <c r="N103" s="38">
        <f t="shared" si="25"/>
        <v>-1.4765389599999992</v>
      </c>
      <c r="O103" s="38">
        <f t="shared" si="25"/>
        <v>-0.50283008999999623</v>
      </c>
      <c r="P103" s="38">
        <f t="shared" si="25"/>
        <v>-0.97370887000000017</v>
      </c>
      <c r="Q103" s="38">
        <f t="shared" si="26"/>
        <v>-3.7204098221946253</v>
      </c>
      <c r="R103" s="38">
        <f t="shared" si="26"/>
        <v>-1.3304680375840832</v>
      </c>
      <c r="S103" s="39">
        <f t="shared" si="27"/>
        <v>-51.408516640484834</v>
      </c>
    </row>
    <row r="104" spans="1:24" ht="26.4" hidden="1" x14ac:dyDescent="0.25">
      <c r="A104" s="270" t="s">
        <v>282</v>
      </c>
      <c r="B104" s="32">
        <v>0</v>
      </c>
      <c r="C104" s="32">
        <v>0</v>
      </c>
      <c r="D104" s="32">
        <v>0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32">
        <f t="shared" si="25"/>
        <v>0</v>
      </c>
      <c r="O104" s="32">
        <f t="shared" si="25"/>
        <v>0</v>
      </c>
      <c r="P104" s="32">
        <f t="shared" si="25"/>
        <v>0</v>
      </c>
      <c r="Q104" s="54" t="s">
        <v>30</v>
      </c>
      <c r="R104" s="54" t="s">
        <v>30</v>
      </c>
      <c r="S104" s="50" t="s">
        <v>30</v>
      </c>
    </row>
    <row r="105" spans="1:24" ht="26.4" x14ac:dyDescent="0.25">
      <c r="A105" s="270" t="s">
        <v>283</v>
      </c>
      <c r="B105" s="32">
        <v>37.818473859999997</v>
      </c>
      <c r="C105" s="32">
        <v>37.793473859999999</v>
      </c>
      <c r="D105" s="32">
        <v>2.5000000000000001E-2</v>
      </c>
      <c r="E105" s="32"/>
      <c r="F105" s="32"/>
      <c r="G105" s="32"/>
      <c r="H105" s="32">
        <v>37.34494377</v>
      </c>
      <c r="I105" s="32">
        <v>37.290643770000003</v>
      </c>
      <c r="J105" s="32">
        <v>5.4300000000000001E-2</v>
      </c>
      <c r="K105" s="32"/>
      <c r="L105" s="32"/>
      <c r="M105" s="32"/>
      <c r="N105" s="32">
        <f t="shared" si="25"/>
        <v>-0.47353008999999702</v>
      </c>
      <c r="O105" s="32">
        <f t="shared" si="25"/>
        <v>-0.50283008999999623</v>
      </c>
      <c r="P105" s="32">
        <f t="shared" si="25"/>
        <v>2.93E-2</v>
      </c>
      <c r="Q105" s="32">
        <f t="shared" si="26"/>
        <v>-1.2521131649916697</v>
      </c>
      <c r="R105" s="32">
        <f t="shared" si="26"/>
        <v>-1.3304680375840832</v>
      </c>
      <c r="S105" s="34">
        <f t="shared" si="27"/>
        <v>117.19999999999999</v>
      </c>
    </row>
    <row r="106" spans="1:24" ht="26.4" x14ac:dyDescent="0.25">
      <c r="A106" s="270" t="s">
        <v>284</v>
      </c>
      <c r="B106" s="32">
        <v>1.8690613999999999</v>
      </c>
      <c r="C106" s="32">
        <v>0</v>
      </c>
      <c r="D106" s="32">
        <v>1.8690614000000001</v>
      </c>
      <c r="E106" s="32"/>
      <c r="F106" s="32"/>
      <c r="G106" s="32"/>
      <c r="H106" s="32">
        <v>0.86605253000000004</v>
      </c>
      <c r="I106" s="32">
        <v>0</v>
      </c>
      <c r="J106" s="32">
        <v>0.86605253000000004</v>
      </c>
      <c r="K106" s="32"/>
      <c r="L106" s="32"/>
      <c r="M106" s="32"/>
      <c r="N106" s="32">
        <f t="shared" si="25"/>
        <v>-1.0030088699999999</v>
      </c>
      <c r="O106" s="32">
        <f t="shared" si="25"/>
        <v>0</v>
      </c>
      <c r="P106" s="32">
        <f t="shared" si="25"/>
        <v>-1.0030088699999999</v>
      </c>
      <c r="Q106" s="32">
        <f t="shared" si="26"/>
        <v>-53.663773164434289</v>
      </c>
      <c r="R106" s="54" t="s">
        <v>30</v>
      </c>
      <c r="S106" s="34">
        <f t="shared" si="27"/>
        <v>-53.663773164434296</v>
      </c>
    </row>
    <row r="107" spans="1:24" x14ac:dyDescent="0.25">
      <c r="A107" s="107" t="s">
        <v>285</v>
      </c>
      <c r="B107" s="38">
        <v>18108.895637289999</v>
      </c>
      <c r="C107" s="38">
        <v>12960.03016117</v>
      </c>
      <c r="D107" s="38">
        <v>14622.14369223</v>
      </c>
      <c r="E107" s="38"/>
      <c r="F107" s="38"/>
      <c r="G107" s="38"/>
      <c r="H107" s="38">
        <v>18070.574918369999</v>
      </c>
      <c r="I107" s="38">
        <v>12802.719406290002</v>
      </c>
      <c r="J107" s="38">
        <v>14690.9595267</v>
      </c>
      <c r="K107" s="38">
        <f t="shared" ref="K107:M107" si="34">K108+K110+K112+K114+K115+K116+K118+K119</f>
        <v>0</v>
      </c>
      <c r="L107" s="38">
        <f t="shared" si="34"/>
        <v>0</v>
      </c>
      <c r="M107" s="38">
        <f t="shared" si="34"/>
        <v>0</v>
      </c>
      <c r="N107" s="38">
        <f t="shared" si="25"/>
        <v>-38.320718920000218</v>
      </c>
      <c r="O107" s="38">
        <f t="shared" si="25"/>
        <v>-157.31075487999806</v>
      </c>
      <c r="P107" s="38">
        <f t="shared" si="25"/>
        <v>68.815834470000482</v>
      </c>
      <c r="Q107" s="38">
        <f t="shared" si="26"/>
        <v>-0.21161267747929458</v>
      </c>
      <c r="R107" s="38">
        <f t="shared" si="26"/>
        <v>-1.2138147282351355</v>
      </c>
      <c r="S107" s="39">
        <f t="shared" si="27"/>
        <v>0.47062753532212298</v>
      </c>
      <c r="T107" s="7">
        <f>H107/H164%</f>
        <v>30.51058940162639</v>
      </c>
      <c r="U107" s="7">
        <f>I107/I164%</f>
        <v>25.696035805115546</v>
      </c>
      <c r="V107" s="7">
        <f>J107/J164%</f>
        <v>62.764520387868863</v>
      </c>
    </row>
    <row r="108" spans="1:24" x14ac:dyDescent="0.25">
      <c r="A108" s="270" t="s">
        <v>286</v>
      </c>
      <c r="B108" s="32">
        <v>5110.3186073799998</v>
      </c>
      <c r="C108" s="32">
        <v>176.96558125999999</v>
      </c>
      <c r="D108" s="32">
        <v>5110.3186073799998</v>
      </c>
      <c r="E108" s="32"/>
      <c r="F108" s="32"/>
      <c r="G108" s="32"/>
      <c r="H108" s="32">
        <v>5281.64444095</v>
      </c>
      <c r="I108" s="32">
        <v>20.049065899999999</v>
      </c>
      <c r="J108" s="32">
        <v>5273.6350559499997</v>
      </c>
      <c r="K108" s="32"/>
      <c r="L108" s="32"/>
      <c r="M108" s="32"/>
      <c r="N108" s="32">
        <f t="shared" si="25"/>
        <v>171.32583357000021</v>
      </c>
      <c r="O108" s="32">
        <f t="shared" si="25"/>
        <v>-156.91651536000001</v>
      </c>
      <c r="P108" s="32">
        <f t="shared" si="25"/>
        <v>163.31644856999992</v>
      </c>
      <c r="Q108" s="32">
        <f t="shared" si="26"/>
        <v>3.3525470079807178</v>
      </c>
      <c r="R108" s="32">
        <f t="shared" si="26"/>
        <v>-88.670641060679671</v>
      </c>
      <c r="S108" s="34">
        <f t="shared" si="27"/>
        <v>3.1958173475553764</v>
      </c>
    </row>
    <row r="109" spans="1:24" s="76" customFormat="1" hidden="1" x14ac:dyDescent="0.25">
      <c r="A109" s="276" t="s">
        <v>323</v>
      </c>
      <c r="B109" s="63">
        <v>0</v>
      </c>
      <c r="C109" s="63">
        <v>176.96558125999999</v>
      </c>
      <c r="D109" s="63">
        <v>0</v>
      </c>
      <c r="E109" s="63"/>
      <c r="F109" s="63"/>
      <c r="G109" s="63"/>
      <c r="H109" s="63">
        <v>0</v>
      </c>
      <c r="I109" s="63">
        <v>12.0396809</v>
      </c>
      <c r="J109" s="63">
        <v>0</v>
      </c>
      <c r="K109" s="63"/>
      <c r="L109" s="63"/>
      <c r="M109" s="63"/>
      <c r="N109" s="63"/>
      <c r="O109" s="63"/>
      <c r="P109" s="63"/>
      <c r="Q109" s="63"/>
      <c r="R109" s="63"/>
      <c r="S109" s="277"/>
      <c r="T109" s="75"/>
      <c r="U109" s="75"/>
      <c r="V109" s="75"/>
      <c r="W109" s="75"/>
      <c r="X109" s="75"/>
    </row>
    <row r="110" spans="1:24" x14ac:dyDescent="0.25">
      <c r="A110" s="270" t="s">
        <v>287</v>
      </c>
      <c r="B110" s="32">
        <v>10192.314686829999</v>
      </c>
      <c r="C110" s="32">
        <v>10088.906415760001</v>
      </c>
      <c r="D110" s="32">
        <v>8888.8406676600007</v>
      </c>
      <c r="E110" s="32"/>
      <c r="F110" s="32"/>
      <c r="G110" s="32"/>
      <c r="H110" s="32">
        <v>8854.6921429100003</v>
      </c>
      <c r="I110" s="32">
        <v>10143.03395997</v>
      </c>
      <c r="J110" s="32">
        <v>7703.9966099699996</v>
      </c>
      <c r="K110" s="32"/>
      <c r="L110" s="32"/>
      <c r="M110" s="32"/>
      <c r="N110" s="32">
        <f t="shared" si="25"/>
        <v>-1337.6225439199989</v>
      </c>
      <c r="O110" s="32">
        <f t="shared" si="25"/>
        <v>54.127544209999542</v>
      </c>
      <c r="P110" s="32">
        <f t="shared" si="25"/>
        <v>-1184.8440576900011</v>
      </c>
      <c r="Q110" s="32">
        <f t="shared" si="26"/>
        <v>-13.123834820842106</v>
      </c>
      <c r="R110" s="32">
        <f t="shared" si="26"/>
        <v>0.5365055634319873</v>
      </c>
      <c r="S110" s="34">
        <f t="shared" si="27"/>
        <v>-13.329567960429131</v>
      </c>
    </row>
    <row r="111" spans="1:24" hidden="1" x14ac:dyDescent="0.25">
      <c r="A111" s="276" t="s">
        <v>323</v>
      </c>
      <c r="B111" s="63">
        <v>0</v>
      </c>
      <c r="C111" s="63">
        <v>8785.4323965900003</v>
      </c>
      <c r="D111" s="63">
        <v>0</v>
      </c>
      <c r="E111" s="63"/>
      <c r="F111" s="63"/>
      <c r="G111" s="63"/>
      <c r="H111" s="63">
        <v>0</v>
      </c>
      <c r="I111" s="63">
        <v>8992.3384270300012</v>
      </c>
      <c r="J111" s="63">
        <v>0</v>
      </c>
      <c r="K111" s="32"/>
      <c r="L111" s="32"/>
      <c r="M111" s="32"/>
      <c r="N111" s="32"/>
      <c r="O111" s="32"/>
      <c r="P111" s="32"/>
      <c r="Q111" s="32"/>
      <c r="R111" s="32"/>
      <c r="S111" s="34"/>
    </row>
    <row r="112" spans="1:24" x14ac:dyDescent="0.25">
      <c r="A112" s="270" t="s">
        <v>371</v>
      </c>
      <c r="B112" s="32"/>
      <c r="C112" s="32"/>
      <c r="D112" s="32"/>
      <c r="E112" s="32"/>
      <c r="F112" s="32"/>
      <c r="G112" s="32"/>
      <c r="H112" s="32">
        <v>1378.9187341700001</v>
      </c>
      <c r="I112" s="32">
        <v>111.5971478</v>
      </c>
      <c r="J112" s="32">
        <v>1277.7683823699999</v>
      </c>
      <c r="K112" s="32"/>
      <c r="L112" s="32"/>
      <c r="M112" s="32"/>
      <c r="N112" s="32">
        <f t="shared" ref="N112" si="35">H112-B112</f>
        <v>1378.9187341700001</v>
      </c>
      <c r="O112" s="32">
        <f t="shared" ref="O112" si="36">I112-C112</f>
        <v>111.5971478</v>
      </c>
      <c r="P112" s="32">
        <f>J112-D112</f>
        <v>1277.7683823699999</v>
      </c>
      <c r="Q112" s="54" t="s">
        <v>30</v>
      </c>
      <c r="R112" s="54" t="s">
        <v>30</v>
      </c>
      <c r="S112" s="50" t="s">
        <v>30</v>
      </c>
    </row>
    <row r="113" spans="1:24" hidden="1" x14ac:dyDescent="0.25">
      <c r="A113" s="276" t="s">
        <v>323</v>
      </c>
      <c r="B113" s="63"/>
      <c r="C113" s="63"/>
      <c r="D113" s="63"/>
      <c r="E113" s="63"/>
      <c r="F113" s="63"/>
      <c r="G113" s="63"/>
      <c r="H113" s="63">
        <v>0</v>
      </c>
      <c r="I113" s="63">
        <v>10.446796000000001</v>
      </c>
      <c r="J113" s="63">
        <v>0</v>
      </c>
      <c r="K113" s="32"/>
      <c r="L113" s="32"/>
      <c r="M113" s="32"/>
      <c r="N113" s="32"/>
      <c r="O113" s="32"/>
      <c r="P113" s="32"/>
      <c r="Q113" s="32"/>
      <c r="R113" s="32"/>
      <c r="S113" s="34"/>
    </row>
    <row r="114" spans="1:24" x14ac:dyDescent="0.25">
      <c r="A114" s="270" t="s">
        <v>288</v>
      </c>
      <c r="B114" s="32">
        <v>1616.4867979400001</v>
      </c>
      <c r="C114" s="32">
        <v>1616.4867979400001</v>
      </c>
      <c r="D114" s="32">
        <v>0</v>
      </c>
      <c r="E114" s="32"/>
      <c r="F114" s="32"/>
      <c r="G114" s="32"/>
      <c r="H114" s="32">
        <v>1566.2275465999999</v>
      </c>
      <c r="I114" s="32">
        <v>1566.2275465999999</v>
      </c>
      <c r="J114" s="32">
        <v>0</v>
      </c>
      <c r="K114" s="32"/>
      <c r="L114" s="32"/>
      <c r="M114" s="32"/>
      <c r="N114" s="32">
        <f t="shared" si="25"/>
        <v>-50.259251340000219</v>
      </c>
      <c r="O114" s="32">
        <f t="shared" si="25"/>
        <v>-50.259251340000219</v>
      </c>
      <c r="P114" s="32">
        <f t="shared" si="25"/>
        <v>0</v>
      </c>
      <c r="Q114" s="32">
        <f t="shared" si="26"/>
        <v>-3.1091655931894451</v>
      </c>
      <c r="R114" s="32">
        <f t="shared" si="26"/>
        <v>-3.1091655931894451</v>
      </c>
      <c r="S114" s="50" t="s">
        <v>30</v>
      </c>
    </row>
    <row r="115" spans="1:24" ht="26.4" x14ac:dyDescent="0.25">
      <c r="A115" s="270" t="s">
        <v>289</v>
      </c>
      <c r="B115" s="32">
        <v>85.217957470000002</v>
      </c>
      <c r="C115" s="32">
        <v>83.108900000000006</v>
      </c>
      <c r="D115" s="32">
        <v>2.1090574700000002</v>
      </c>
      <c r="E115" s="32"/>
      <c r="F115" s="32"/>
      <c r="G115" s="32"/>
      <c r="H115" s="32">
        <v>74.953083809999995</v>
      </c>
      <c r="I115" s="32">
        <v>72.98443773999999</v>
      </c>
      <c r="J115" s="32">
        <v>1.9686460700000001</v>
      </c>
      <c r="K115" s="32"/>
      <c r="L115" s="32"/>
      <c r="M115" s="32"/>
      <c r="N115" s="32">
        <f t="shared" si="25"/>
        <v>-10.264873660000006</v>
      </c>
      <c r="O115" s="32">
        <f t="shared" si="25"/>
        <v>-10.124462260000016</v>
      </c>
      <c r="P115" s="32">
        <f t="shared" si="25"/>
        <v>-0.14041140000000008</v>
      </c>
      <c r="Q115" s="32">
        <f t="shared" si="26"/>
        <v>-12.045434981956291</v>
      </c>
      <c r="R115" s="32">
        <f t="shared" si="26"/>
        <v>-12.182163715318111</v>
      </c>
      <c r="S115" s="34">
        <f t="shared" si="27"/>
        <v>-6.657542622582028</v>
      </c>
    </row>
    <row r="116" spans="1:24" x14ac:dyDescent="0.25">
      <c r="A116" s="270" t="s">
        <v>372</v>
      </c>
      <c r="B116" s="32">
        <v>553.81858789</v>
      </c>
      <c r="C116" s="32">
        <v>468.25383916000004</v>
      </c>
      <c r="D116" s="32">
        <f>266.77702362-D117</f>
        <v>266.20802362000001</v>
      </c>
      <c r="E116" s="32"/>
      <c r="F116" s="32"/>
      <c r="G116" s="32"/>
      <c r="H116" s="32">
        <v>438.16042756000002</v>
      </c>
      <c r="I116" s="32">
        <v>364.97248013999996</v>
      </c>
      <c r="J116" s="32">
        <f>136.62728043-J117</f>
        <v>135.89528043000001</v>
      </c>
      <c r="K116" s="32"/>
      <c r="L116" s="32"/>
      <c r="M116" s="32"/>
      <c r="N116" s="32">
        <f t="shared" si="25"/>
        <v>-115.65816032999999</v>
      </c>
      <c r="O116" s="32">
        <f t="shared" si="25"/>
        <v>-103.28135902000008</v>
      </c>
      <c r="P116" s="32">
        <f t="shared" si="25"/>
        <v>-130.31274318999999</v>
      </c>
      <c r="Q116" s="32">
        <f t="shared" si="26"/>
        <v>-20.883762816746071</v>
      </c>
      <c r="R116" s="32">
        <f t="shared" si="26"/>
        <v>-22.056703091911942</v>
      </c>
      <c r="S116" s="34">
        <f t="shared" si="27"/>
        <v>-48.951470890304783</v>
      </c>
    </row>
    <row r="117" spans="1:24" hidden="1" x14ac:dyDescent="0.25">
      <c r="A117" s="276" t="s">
        <v>323</v>
      </c>
      <c r="B117" s="63">
        <v>0</v>
      </c>
      <c r="C117" s="63">
        <v>180.64327488999999</v>
      </c>
      <c r="D117" s="63">
        <v>0.56899999999999995</v>
      </c>
      <c r="E117" s="63"/>
      <c r="F117" s="63"/>
      <c r="G117" s="63"/>
      <c r="H117" s="63">
        <v>0</v>
      </c>
      <c r="I117" s="63">
        <v>62.707333009999999</v>
      </c>
      <c r="J117" s="63">
        <v>0.73199999999999998</v>
      </c>
      <c r="K117" s="32"/>
      <c r="L117" s="32"/>
      <c r="M117" s="32"/>
      <c r="N117" s="32"/>
      <c r="O117" s="32"/>
      <c r="P117" s="32"/>
      <c r="Q117" s="32"/>
      <c r="R117" s="32"/>
      <c r="S117" s="34"/>
    </row>
    <row r="118" spans="1:24" ht="26.4" x14ac:dyDescent="0.25">
      <c r="A118" s="270" t="s">
        <v>290</v>
      </c>
      <c r="B118" s="32">
        <v>3.3577129999999999</v>
      </c>
      <c r="C118" s="32">
        <v>3.3577129999999999</v>
      </c>
      <c r="D118" s="32">
        <v>0</v>
      </c>
      <c r="E118" s="32"/>
      <c r="F118" s="32"/>
      <c r="G118" s="32"/>
      <c r="H118" s="32">
        <v>2.7765758100000002</v>
      </c>
      <c r="I118" s="32">
        <v>2.7765758100000002</v>
      </c>
      <c r="J118" s="32">
        <v>0</v>
      </c>
      <c r="K118" s="32"/>
      <c r="L118" s="32"/>
      <c r="M118" s="32"/>
      <c r="N118" s="32">
        <f t="shared" si="25"/>
        <v>-0.58113718999999975</v>
      </c>
      <c r="O118" s="32">
        <f t="shared" si="25"/>
        <v>-0.58113718999999975</v>
      </c>
      <c r="P118" s="32">
        <f t="shared" si="25"/>
        <v>0</v>
      </c>
      <c r="Q118" s="32">
        <f t="shared" si="26"/>
        <v>-17.307530155197881</v>
      </c>
      <c r="R118" s="32">
        <f t="shared" si="26"/>
        <v>-17.307530155197881</v>
      </c>
      <c r="S118" s="50" t="s">
        <v>30</v>
      </c>
    </row>
    <row r="119" spans="1:24" x14ac:dyDescent="0.25">
      <c r="A119" s="270" t="s">
        <v>291</v>
      </c>
      <c r="B119" s="32">
        <v>547.38128677999998</v>
      </c>
      <c r="C119" s="32">
        <v>522.95091405000005</v>
      </c>
      <c r="D119" s="32">
        <v>354.6673361</v>
      </c>
      <c r="E119" s="32"/>
      <c r="F119" s="32"/>
      <c r="G119" s="32"/>
      <c r="H119" s="32">
        <v>473.20196656000002</v>
      </c>
      <c r="I119" s="32">
        <v>521.07819232999998</v>
      </c>
      <c r="J119" s="32">
        <v>297.69555190999995</v>
      </c>
      <c r="K119" s="32"/>
      <c r="L119" s="32"/>
      <c r="M119" s="32"/>
      <c r="N119" s="32">
        <f t="shared" si="25"/>
        <v>-74.179320219999966</v>
      </c>
      <c r="O119" s="32">
        <f t="shared" si="25"/>
        <v>-1.8727217200000723</v>
      </c>
      <c r="P119" s="32">
        <f t="shared" si="25"/>
        <v>-56.971784190000051</v>
      </c>
      <c r="Q119" s="32">
        <f t="shared" si="26"/>
        <v>-13.551672666116119</v>
      </c>
      <c r="R119" s="32">
        <f t="shared" si="26"/>
        <v>-0.35810659656308985</v>
      </c>
      <c r="S119" s="34">
        <f t="shared" si="27"/>
        <v>-16.063442666154231</v>
      </c>
    </row>
    <row r="120" spans="1:24" hidden="1" x14ac:dyDescent="0.25">
      <c r="A120" s="276" t="s">
        <v>323</v>
      </c>
      <c r="B120" s="63">
        <v>0</v>
      </c>
      <c r="C120" s="63">
        <v>330.23696337000001</v>
      </c>
      <c r="D120" s="63">
        <v>0</v>
      </c>
      <c r="E120" s="63"/>
      <c r="F120" s="63"/>
      <c r="G120" s="63"/>
      <c r="H120" s="63">
        <v>0</v>
      </c>
      <c r="I120" s="63">
        <v>345.57177768000003</v>
      </c>
      <c r="J120" s="63">
        <v>0</v>
      </c>
      <c r="K120" s="32"/>
      <c r="L120" s="32"/>
      <c r="M120" s="32"/>
      <c r="N120" s="32"/>
      <c r="O120" s="32"/>
      <c r="P120" s="32"/>
      <c r="Q120" s="32"/>
      <c r="R120" s="32"/>
      <c r="S120" s="34"/>
    </row>
    <row r="121" spans="1:24" x14ac:dyDescent="0.25">
      <c r="A121" s="107" t="s">
        <v>292</v>
      </c>
      <c r="B121" s="38">
        <v>1870.9905397499999</v>
      </c>
      <c r="C121" s="38">
        <v>605.36726745999999</v>
      </c>
      <c r="D121" s="38">
        <v>1281.10303316</v>
      </c>
      <c r="E121" s="38"/>
      <c r="F121" s="38"/>
      <c r="G121" s="38"/>
      <c r="H121" s="38">
        <v>2142.7030584700001</v>
      </c>
      <c r="I121" s="38">
        <v>879.87832709999998</v>
      </c>
      <c r="J121" s="38">
        <v>1458.12427701</v>
      </c>
      <c r="K121" s="38">
        <f t="shared" ref="K121:M121" si="37">K122+K124</f>
        <v>0</v>
      </c>
      <c r="L121" s="38">
        <f t="shared" si="37"/>
        <v>0</v>
      </c>
      <c r="M121" s="38">
        <f t="shared" si="37"/>
        <v>0</v>
      </c>
      <c r="N121" s="38">
        <f t="shared" si="25"/>
        <v>271.71251872000016</v>
      </c>
      <c r="O121" s="38">
        <f t="shared" si="25"/>
        <v>274.51105963999998</v>
      </c>
      <c r="P121" s="38">
        <f t="shared" si="25"/>
        <v>177.02124385000002</v>
      </c>
      <c r="Q121" s="38">
        <f t="shared" si="26"/>
        <v>14.522388699854474</v>
      </c>
      <c r="R121" s="38">
        <f t="shared" si="26"/>
        <v>45.346201288978421</v>
      </c>
      <c r="S121" s="39">
        <f t="shared" si="27"/>
        <v>13.817877193948647</v>
      </c>
    </row>
    <row r="122" spans="1:24" x14ac:dyDescent="0.25">
      <c r="A122" s="270" t="s">
        <v>293</v>
      </c>
      <c r="B122" s="32">
        <v>1782.07781054</v>
      </c>
      <c r="C122" s="32">
        <v>574.21520341999997</v>
      </c>
      <c r="D122" s="32">
        <f>1287.16599606-D123</f>
        <v>1223.34236799</v>
      </c>
      <c r="E122" s="32"/>
      <c r="F122" s="32"/>
      <c r="G122" s="32"/>
      <c r="H122" s="32">
        <v>2055.42360826</v>
      </c>
      <c r="I122" s="32">
        <v>848.93671767000001</v>
      </c>
      <c r="J122" s="32">
        <f>1496.41762024-J123</f>
        <v>1401.7864362299999</v>
      </c>
      <c r="K122" s="32"/>
      <c r="L122" s="32"/>
      <c r="M122" s="32"/>
      <c r="N122" s="32">
        <f t="shared" si="25"/>
        <v>273.34579772000006</v>
      </c>
      <c r="O122" s="32">
        <f t="shared" si="25"/>
        <v>274.72151425000004</v>
      </c>
      <c r="P122" s="32">
        <f t="shared" si="25"/>
        <v>178.44406823999998</v>
      </c>
      <c r="Q122" s="32">
        <f t="shared" si="26"/>
        <v>15.338600598880234</v>
      </c>
      <c r="R122" s="32">
        <f t="shared" si="26"/>
        <v>47.842953759108241</v>
      </c>
      <c r="S122" s="34">
        <f t="shared" si="27"/>
        <v>14.586600849375529</v>
      </c>
    </row>
    <row r="123" spans="1:24" s="76" customFormat="1" hidden="1" x14ac:dyDescent="0.25">
      <c r="A123" s="276" t="s">
        <v>323</v>
      </c>
      <c r="B123" s="63">
        <v>0</v>
      </c>
      <c r="C123" s="63">
        <v>15.47976087</v>
      </c>
      <c r="D123" s="63">
        <v>63.823628069999998</v>
      </c>
      <c r="E123" s="63"/>
      <c r="F123" s="63"/>
      <c r="G123" s="63"/>
      <c r="H123" s="63">
        <v>1.5867</v>
      </c>
      <c r="I123" s="63">
        <v>196.88624564</v>
      </c>
      <c r="J123" s="63">
        <v>94.631184009999984</v>
      </c>
      <c r="K123" s="63"/>
      <c r="L123" s="63"/>
      <c r="M123" s="63"/>
      <c r="N123" s="63"/>
      <c r="O123" s="63"/>
      <c r="P123" s="63"/>
      <c r="Q123" s="63"/>
      <c r="R123" s="63"/>
      <c r="S123" s="277"/>
      <c r="T123" s="75"/>
      <c r="U123" s="75"/>
      <c r="V123" s="75"/>
      <c r="W123" s="75"/>
      <c r="X123" s="75"/>
    </row>
    <row r="124" spans="1:24" ht="26.4" x14ac:dyDescent="0.25">
      <c r="A124" s="270" t="s">
        <v>294</v>
      </c>
      <c r="B124" s="32">
        <v>88.912729209999995</v>
      </c>
      <c r="C124" s="32">
        <v>31.152064039999999</v>
      </c>
      <c r="D124" s="32">
        <f>59.26166517-D125</f>
        <v>57.760665170000003</v>
      </c>
      <c r="E124" s="32"/>
      <c r="F124" s="32"/>
      <c r="G124" s="32"/>
      <c r="H124" s="32">
        <v>87.279450209999993</v>
      </c>
      <c r="I124" s="32">
        <v>30.94160943</v>
      </c>
      <c r="J124" s="32">
        <f>56.78784078-J125</f>
        <v>56.337840780000001</v>
      </c>
      <c r="K124" s="32"/>
      <c r="L124" s="32"/>
      <c r="M124" s="32"/>
      <c r="N124" s="32">
        <f t="shared" si="25"/>
        <v>-1.6332790000000017</v>
      </c>
      <c r="O124" s="32">
        <f t="shared" si="25"/>
        <v>-0.21045460999999932</v>
      </c>
      <c r="P124" s="32">
        <f t="shared" si="25"/>
        <v>-1.4228243900000024</v>
      </c>
      <c r="Q124" s="32">
        <f t="shared" si="26"/>
        <v>-1.8369461993933527</v>
      </c>
      <c r="R124" s="32">
        <f t="shared" si="26"/>
        <v>-0.67557196123432561</v>
      </c>
      <c r="S124" s="34">
        <f t="shared" si="27"/>
        <v>-2.4633102576162713</v>
      </c>
    </row>
    <row r="125" spans="1:24" hidden="1" x14ac:dyDescent="0.25">
      <c r="A125" s="276" t="s">
        <v>323</v>
      </c>
      <c r="B125" s="63">
        <v>0</v>
      </c>
      <c r="C125" s="63">
        <v>0</v>
      </c>
      <c r="D125" s="63">
        <v>1.5009999999999999</v>
      </c>
      <c r="E125" s="63"/>
      <c r="F125" s="63"/>
      <c r="G125" s="63"/>
      <c r="H125" s="63">
        <v>0</v>
      </c>
      <c r="I125" s="63">
        <v>0</v>
      </c>
      <c r="J125" s="63">
        <v>0.45</v>
      </c>
      <c r="K125" s="63"/>
      <c r="L125" s="63"/>
      <c r="M125" s="63"/>
      <c r="N125" s="63"/>
      <c r="O125" s="63"/>
      <c r="P125" s="63"/>
      <c r="Q125" s="63"/>
      <c r="R125" s="63"/>
      <c r="S125" s="277"/>
    </row>
    <row r="126" spans="1:24" x14ac:dyDescent="0.25">
      <c r="A126" s="107" t="s">
        <v>295</v>
      </c>
      <c r="B126" s="38">
        <v>9180.5367597900004</v>
      </c>
      <c r="C126" s="38">
        <v>9180.4441130800005</v>
      </c>
      <c r="D126" s="38">
        <v>9.2646709999999993E-2</v>
      </c>
      <c r="E126" s="38"/>
      <c r="F126" s="38"/>
      <c r="G126" s="38"/>
      <c r="H126" s="38">
        <v>3419.5288227800002</v>
      </c>
      <c r="I126" s="38">
        <v>3419.22422921</v>
      </c>
      <c r="J126" s="38">
        <v>0.30459356999999998</v>
      </c>
      <c r="K126" s="38">
        <f t="shared" ref="K126:M126" si="38">K127+K128+K130+K131+K132+K133+K134</f>
        <v>0</v>
      </c>
      <c r="L126" s="38">
        <f t="shared" si="38"/>
        <v>0</v>
      </c>
      <c r="M126" s="38">
        <f t="shared" si="38"/>
        <v>0</v>
      </c>
      <c r="N126" s="38">
        <f t="shared" si="25"/>
        <v>-5761.0079370100002</v>
      </c>
      <c r="O126" s="38">
        <f t="shared" si="25"/>
        <v>-5761.2198838700006</v>
      </c>
      <c r="P126" s="38">
        <f t="shared" si="25"/>
        <v>0.21194685999999999</v>
      </c>
      <c r="Q126" s="38">
        <f t="shared" si="26"/>
        <v>-62.752408576399837</v>
      </c>
      <c r="R126" s="38">
        <f t="shared" si="26"/>
        <v>-62.755350535401661</v>
      </c>
      <c r="S126" s="39">
        <f t="shared" si="27"/>
        <v>228.76890069814675</v>
      </c>
      <c r="T126" s="7">
        <f>H126/H164%</f>
        <v>5.7735761219642692</v>
      </c>
      <c r="U126" s="7">
        <f t="shared" ref="U126:V126" si="39">I126/I164%</f>
        <v>6.8626442110675887</v>
      </c>
      <c r="V126" s="7">
        <f t="shared" si="39"/>
        <v>1.3013220341076743E-3</v>
      </c>
    </row>
    <row r="127" spans="1:24" x14ac:dyDescent="0.25">
      <c r="A127" s="270" t="s">
        <v>296</v>
      </c>
      <c r="B127" s="32">
        <v>1562.6860380000001</v>
      </c>
      <c r="C127" s="32">
        <v>1562.6860380000001</v>
      </c>
      <c r="D127" s="32">
        <v>0</v>
      </c>
      <c r="E127" s="32"/>
      <c r="F127" s="32"/>
      <c r="G127" s="32"/>
      <c r="H127" s="32">
        <v>1080.818021</v>
      </c>
      <c r="I127" s="32">
        <v>1080.818021</v>
      </c>
      <c r="J127" s="32">
        <v>0</v>
      </c>
      <c r="K127" s="32"/>
      <c r="L127" s="32"/>
      <c r="M127" s="32"/>
      <c r="N127" s="32">
        <f t="shared" si="25"/>
        <v>-481.86801700000001</v>
      </c>
      <c r="O127" s="32">
        <f t="shared" si="25"/>
        <v>-481.86801700000001</v>
      </c>
      <c r="P127" s="32">
        <f t="shared" si="25"/>
        <v>0</v>
      </c>
      <c r="Q127" s="32">
        <f t="shared" si="26"/>
        <v>-30.835881634721559</v>
      </c>
      <c r="R127" s="32">
        <f t="shared" si="26"/>
        <v>-30.835881634721559</v>
      </c>
      <c r="S127" s="50" t="s">
        <v>30</v>
      </c>
    </row>
    <row r="128" spans="1:24" x14ac:dyDescent="0.25">
      <c r="A128" s="270" t="s">
        <v>297</v>
      </c>
      <c r="B128" s="32">
        <v>954.77595267999993</v>
      </c>
      <c r="C128" s="32">
        <v>954.77595267999993</v>
      </c>
      <c r="D128" s="32">
        <v>0</v>
      </c>
      <c r="E128" s="32"/>
      <c r="F128" s="32"/>
      <c r="G128" s="32"/>
      <c r="H128" s="32">
        <v>1390.44513104</v>
      </c>
      <c r="I128" s="32">
        <v>1390.44513104</v>
      </c>
      <c r="J128" s="32">
        <v>0</v>
      </c>
      <c r="K128" s="32"/>
      <c r="L128" s="32"/>
      <c r="M128" s="32"/>
      <c r="N128" s="32">
        <f t="shared" si="25"/>
        <v>435.66917836000005</v>
      </c>
      <c r="O128" s="32">
        <f t="shared" si="25"/>
        <v>435.66917836000005</v>
      </c>
      <c r="P128" s="32">
        <f t="shared" si="25"/>
        <v>0</v>
      </c>
      <c r="Q128" s="32">
        <f t="shared" ref="Q128" si="40">H128/B128%-100</f>
        <v>45.63051437744133</v>
      </c>
      <c r="R128" s="32">
        <f t="shared" ref="R128" si="41">I128/C128%-100</f>
        <v>45.63051437744133</v>
      </c>
      <c r="S128" s="50" t="s">
        <v>30</v>
      </c>
    </row>
    <row r="129" spans="1:24" ht="26.4" x14ac:dyDescent="0.25">
      <c r="A129" s="270" t="s">
        <v>325</v>
      </c>
      <c r="B129" s="32"/>
      <c r="C129" s="32"/>
      <c r="D129" s="32"/>
      <c r="E129" s="32"/>
      <c r="F129" s="32"/>
      <c r="G129" s="32"/>
      <c r="H129" s="32">
        <v>16.310600000000001</v>
      </c>
      <c r="I129" s="32">
        <v>16.310600000000001</v>
      </c>
      <c r="J129" s="32">
        <v>0</v>
      </c>
      <c r="K129" s="32"/>
      <c r="L129" s="32"/>
      <c r="M129" s="32"/>
      <c r="N129" s="32">
        <f t="shared" ref="N129" si="42">H129-B129</f>
        <v>16.310600000000001</v>
      </c>
      <c r="O129" s="32">
        <f t="shared" ref="O129" si="43">I129-C129</f>
        <v>16.310600000000001</v>
      </c>
      <c r="P129" s="32">
        <f t="shared" ref="P129" si="44">J129-D129</f>
        <v>0</v>
      </c>
      <c r="Q129" s="54" t="s">
        <v>30</v>
      </c>
      <c r="R129" s="54" t="s">
        <v>30</v>
      </c>
      <c r="S129" s="50" t="s">
        <v>30</v>
      </c>
    </row>
    <row r="130" spans="1:24" x14ac:dyDescent="0.25">
      <c r="A130" s="270" t="s">
        <v>298</v>
      </c>
      <c r="B130" s="32">
        <v>46.858600000000003</v>
      </c>
      <c r="C130" s="32">
        <v>46.858600000000003</v>
      </c>
      <c r="D130" s="32">
        <v>0</v>
      </c>
      <c r="E130" s="32"/>
      <c r="F130" s="32"/>
      <c r="G130" s="32"/>
      <c r="H130" s="32">
        <v>215.78455890000001</v>
      </c>
      <c r="I130" s="32">
        <v>215.78455890000001</v>
      </c>
      <c r="J130" s="32">
        <v>0</v>
      </c>
      <c r="K130" s="32"/>
      <c r="L130" s="32"/>
      <c r="M130" s="32"/>
      <c r="N130" s="32">
        <f t="shared" si="25"/>
        <v>168.92595890000001</v>
      </c>
      <c r="O130" s="32">
        <f t="shared" si="25"/>
        <v>168.92595890000001</v>
      </c>
      <c r="P130" s="32">
        <f t="shared" si="25"/>
        <v>0</v>
      </c>
      <c r="Q130" s="32">
        <f t="shared" ref="Q130" si="45">H130/B130%-100</f>
        <v>360.50150644705565</v>
      </c>
      <c r="R130" s="32">
        <f t="shared" ref="R130" si="46">I130/C130%-100</f>
        <v>360.50150644705565</v>
      </c>
      <c r="S130" s="50" t="s">
        <v>30</v>
      </c>
      <c r="T130" s="7">
        <f>I130/C130</f>
        <v>4.6050150644705559</v>
      </c>
    </row>
    <row r="131" spans="1:24" x14ac:dyDescent="0.25">
      <c r="A131" s="270" t="s">
        <v>299</v>
      </c>
      <c r="B131" s="32">
        <v>110.4614</v>
      </c>
      <c r="C131" s="32">
        <v>110.4614</v>
      </c>
      <c r="D131" s="32">
        <v>0</v>
      </c>
      <c r="E131" s="32"/>
      <c r="F131" s="32"/>
      <c r="G131" s="32"/>
      <c r="H131" s="32">
        <v>132.58445</v>
      </c>
      <c r="I131" s="32">
        <v>132.58445</v>
      </c>
      <c r="J131" s="32">
        <v>0</v>
      </c>
      <c r="K131" s="32"/>
      <c r="L131" s="32"/>
      <c r="M131" s="32"/>
      <c r="N131" s="32">
        <f t="shared" si="25"/>
        <v>22.123050000000006</v>
      </c>
      <c r="O131" s="32">
        <f t="shared" si="25"/>
        <v>22.123050000000006</v>
      </c>
      <c r="P131" s="32">
        <f t="shared" si="25"/>
        <v>0</v>
      </c>
      <c r="Q131" s="32">
        <f t="shared" si="26"/>
        <v>20.027855884499019</v>
      </c>
      <c r="R131" s="32">
        <f t="shared" si="26"/>
        <v>20.027855884499019</v>
      </c>
      <c r="S131" s="50" t="s">
        <v>30</v>
      </c>
    </row>
    <row r="132" spans="1:24" ht="39.6" x14ac:dyDescent="0.25">
      <c r="A132" s="270" t="s">
        <v>300</v>
      </c>
      <c r="B132" s="32">
        <v>91.597700000000003</v>
      </c>
      <c r="C132" s="32">
        <v>91.597700000000003</v>
      </c>
      <c r="D132" s="32">
        <v>0</v>
      </c>
      <c r="E132" s="32"/>
      <c r="F132" s="32"/>
      <c r="G132" s="32"/>
      <c r="H132" s="32">
        <v>86.254999999999995</v>
      </c>
      <c r="I132" s="32">
        <v>86.254999999999995</v>
      </c>
      <c r="J132" s="32">
        <v>0</v>
      </c>
      <c r="K132" s="32"/>
      <c r="L132" s="32"/>
      <c r="M132" s="32"/>
      <c r="N132" s="32">
        <f t="shared" si="25"/>
        <v>-5.3427000000000078</v>
      </c>
      <c r="O132" s="32">
        <f t="shared" si="25"/>
        <v>-5.3427000000000078</v>
      </c>
      <c r="P132" s="32">
        <f t="shared" si="25"/>
        <v>0</v>
      </c>
      <c r="Q132" s="32">
        <f t="shared" si="26"/>
        <v>-5.8327883778741239</v>
      </c>
      <c r="R132" s="32">
        <f t="shared" si="26"/>
        <v>-5.8327883778741239</v>
      </c>
      <c r="S132" s="50" t="s">
        <v>30</v>
      </c>
    </row>
    <row r="133" spans="1:24" ht="26.4" hidden="1" x14ac:dyDescent="0.25">
      <c r="A133" s="270" t="s">
        <v>301</v>
      </c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>
        <f t="shared" si="25"/>
        <v>0</v>
      </c>
      <c r="O133" s="32">
        <f t="shared" si="25"/>
        <v>0</v>
      </c>
      <c r="P133" s="32">
        <f t="shared" si="25"/>
        <v>0</v>
      </c>
      <c r="Q133" s="54" t="s">
        <v>30</v>
      </c>
      <c r="R133" s="54" t="s">
        <v>30</v>
      </c>
      <c r="S133" s="50" t="s">
        <v>30</v>
      </c>
    </row>
    <row r="134" spans="1:24" ht="14.25" customHeight="1" x14ac:dyDescent="0.25">
      <c r="A134" s="270" t="s">
        <v>302</v>
      </c>
      <c r="B134" s="32">
        <v>6414.1570691099996</v>
      </c>
      <c r="C134" s="32">
        <v>6414.0644223999998</v>
      </c>
      <c r="D134" s="32">
        <v>9.2646709999999993E-2</v>
      </c>
      <c r="E134" s="32"/>
      <c r="F134" s="32"/>
      <c r="G134" s="32"/>
      <c r="H134" s="32">
        <v>497.33106183999996</v>
      </c>
      <c r="I134" s="32">
        <v>497.02646826999995</v>
      </c>
      <c r="J134" s="32">
        <v>0.30459356999999998</v>
      </c>
      <c r="K134" s="32"/>
      <c r="L134" s="32"/>
      <c r="M134" s="32"/>
      <c r="N134" s="32">
        <f t="shared" si="25"/>
        <v>-5916.8260072699995</v>
      </c>
      <c r="O134" s="32">
        <f t="shared" si="25"/>
        <v>-5917.0379541299999</v>
      </c>
      <c r="P134" s="32">
        <f t="shared" si="25"/>
        <v>0.21194685999999999</v>
      </c>
      <c r="Q134" s="32">
        <f t="shared" si="26"/>
        <v>-92.246353550724521</v>
      </c>
      <c r="R134" s="32">
        <f t="shared" si="26"/>
        <v>-92.250990393326546</v>
      </c>
      <c r="S134" s="34">
        <f t="shared" si="27"/>
        <v>228.76890069814675</v>
      </c>
    </row>
    <row r="135" spans="1:24" x14ac:dyDescent="0.25">
      <c r="A135" s="107" t="s">
        <v>303</v>
      </c>
      <c r="B135" s="38">
        <v>9683.7122241899997</v>
      </c>
      <c r="C135" s="38">
        <v>9191.7736739500015</v>
      </c>
      <c r="D135" s="38">
        <v>1546.6320129400001</v>
      </c>
      <c r="E135" s="38"/>
      <c r="F135" s="38"/>
      <c r="G135" s="38"/>
      <c r="H135" s="38">
        <v>15217.906443940001</v>
      </c>
      <c r="I135" s="38">
        <v>14965.86694675</v>
      </c>
      <c r="J135" s="38">
        <v>1109.3361892</v>
      </c>
      <c r="K135" s="38"/>
      <c r="L135" s="38"/>
      <c r="M135" s="38"/>
      <c r="N135" s="38">
        <f t="shared" si="25"/>
        <v>5534.1942197500011</v>
      </c>
      <c r="O135" s="38">
        <f t="shared" si="25"/>
        <v>5774.0932727999989</v>
      </c>
      <c r="P135" s="38">
        <f t="shared" si="25"/>
        <v>-437.29582374000006</v>
      </c>
      <c r="Q135" s="38">
        <f t="shared" si="26"/>
        <v>57.149511381859696</v>
      </c>
      <c r="R135" s="38">
        <f t="shared" si="26"/>
        <v>62.818053159469116</v>
      </c>
      <c r="S135" s="39">
        <f t="shared" si="27"/>
        <v>-28.274070372353307</v>
      </c>
      <c r="T135" s="7">
        <f>H135/H164%</f>
        <v>25.694107528998263</v>
      </c>
      <c r="U135" s="7">
        <f>I135/I164%</f>
        <v>30.037638154386674</v>
      </c>
      <c r="V135" s="7">
        <f>J135/J164%</f>
        <v>4.7394422221027188</v>
      </c>
      <c r="W135" s="7">
        <f>H135/B135</f>
        <v>1.5714951138185969</v>
      </c>
    </row>
    <row r="136" spans="1:24" x14ac:dyDescent="0.25">
      <c r="A136" s="270" t="s">
        <v>304</v>
      </c>
      <c r="B136" s="32">
        <v>102.98418340000001</v>
      </c>
      <c r="C136" s="32">
        <v>40.380779830000002</v>
      </c>
      <c r="D136" s="32">
        <v>62.603403569999998</v>
      </c>
      <c r="E136" s="32"/>
      <c r="F136" s="32"/>
      <c r="G136" s="32"/>
      <c r="H136" s="32">
        <v>147.57010341</v>
      </c>
      <c r="I136" s="32">
        <v>60.647058100000002</v>
      </c>
      <c r="J136" s="32">
        <v>86.923045310000006</v>
      </c>
      <c r="K136" s="32"/>
      <c r="L136" s="32"/>
      <c r="M136" s="32"/>
      <c r="N136" s="32">
        <f t="shared" si="25"/>
        <v>44.585920009999995</v>
      </c>
      <c r="O136" s="32">
        <f t="shared" si="25"/>
        <v>20.266278270000001</v>
      </c>
      <c r="P136" s="32">
        <f t="shared" si="25"/>
        <v>24.319641740000009</v>
      </c>
      <c r="Q136" s="32">
        <f t="shared" si="26"/>
        <v>43.293949165790053</v>
      </c>
      <c r="R136" s="32">
        <f t="shared" si="26"/>
        <v>50.187931870854101</v>
      </c>
      <c r="S136" s="34">
        <f t="shared" si="27"/>
        <v>38.847155830444592</v>
      </c>
    </row>
    <row r="137" spans="1:24" s="76" customFormat="1" hidden="1" x14ac:dyDescent="0.25">
      <c r="A137" s="276" t="s">
        <v>323</v>
      </c>
      <c r="B137" s="63"/>
      <c r="C137" s="63"/>
      <c r="D137" s="63"/>
      <c r="E137" s="63"/>
      <c r="F137" s="63"/>
      <c r="G137" s="63"/>
      <c r="H137" s="63">
        <v>15.186740050000001</v>
      </c>
      <c r="I137" s="63">
        <v>15.186740050000001</v>
      </c>
      <c r="J137" s="63">
        <v>0</v>
      </c>
      <c r="K137" s="63"/>
      <c r="L137" s="63"/>
      <c r="M137" s="63"/>
      <c r="N137" s="63"/>
      <c r="O137" s="63"/>
      <c r="P137" s="63"/>
      <c r="Q137" s="63"/>
      <c r="R137" s="63"/>
      <c r="S137" s="277"/>
      <c r="T137" s="75"/>
      <c r="U137" s="75"/>
      <c r="V137" s="75"/>
      <c r="W137" s="75"/>
      <c r="X137" s="75"/>
    </row>
    <row r="138" spans="1:24" x14ac:dyDescent="0.25">
      <c r="A138" s="262" t="s">
        <v>305</v>
      </c>
      <c r="B138" s="32">
        <v>1537.46156021</v>
      </c>
      <c r="C138" s="32">
        <v>1537.38356021</v>
      </c>
      <c r="D138" s="32">
        <v>7.8E-2</v>
      </c>
      <c r="E138" s="32"/>
      <c r="F138" s="32"/>
      <c r="G138" s="32"/>
      <c r="H138" s="32">
        <v>1445.7420836900001</v>
      </c>
      <c r="I138" s="32">
        <v>1445.72608369</v>
      </c>
      <c r="J138" s="32">
        <v>1.6E-2</v>
      </c>
      <c r="K138" s="32"/>
      <c r="L138" s="32"/>
      <c r="M138" s="32"/>
      <c r="N138" s="32">
        <f t="shared" si="25"/>
        <v>-91.719476519999944</v>
      </c>
      <c r="O138" s="32">
        <f t="shared" si="25"/>
        <v>-91.657476520000046</v>
      </c>
      <c r="P138" s="32">
        <f t="shared" si="25"/>
        <v>-6.2E-2</v>
      </c>
      <c r="Q138" s="32">
        <f t="shared" si="26"/>
        <v>-5.9656435577792308</v>
      </c>
      <c r="R138" s="32">
        <f t="shared" si="26"/>
        <v>-5.9619134022403557</v>
      </c>
      <c r="S138" s="34">
        <f t="shared" si="27"/>
        <v>-79.487179487179489</v>
      </c>
    </row>
    <row r="139" spans="1:24" x14ac:dyDescent="0.25">
      <c r="A139" s="262" t="s">
        <v>373</v>
      </c>
      <c r="B139" s="32">
        <v>5960.1139137600003</v>
      </c>
      <c r="C139" s="32">
        <v>5580.7600286099996</v>
      </c>
      <c r="D139" s="32">
        <f>921.04448625-D140</f>
        <v>920.40843325000003</v>
      </c>
      <c r="E139" s="32"/>
      <c r="F139" s="32"/>
      <c r="G139" s="32"/>
      <c r="H139" s="32">
        <v>11483.09394302</v>
      </c>
      <c r="I139" s="32">
        <v>11356.791524030001</v>
      </c>
      <c r="J139" s="32">
        <f>459.99958874-J140</f>
        <v>459.45448474</v>
      </c>
      <c r="K139" s="32"/>
      <c r="L139" s="32"/>
      <c r="M139" s="32"/>
      <c r="N139" s="32">
        <f t="shared" si="25"/>
        <v>5522.9800292599994</v>
      </c>
      <c r="O139" s="32">
        <f t="shared" si="25"/>
        <v>5776.0314954200012</v>
      </c>
      <c r="P139" s="32">
        <f t="shared" si="25"/>
        <v>-460.95394851000003</v>
      </c>
      <c r="Q139" s="32">
        <f t="shared" si="26"/>
        <v>92.665679031892353</v>
      </c>
      <c r="R139" s="32">
        <f>I139/C139%-100</f>
        <v>103.49901206661698</v>
      </c>
      <c r="S139" s="34">
        <f t="shared" si="27"/>
        <v>-50.081456433678333</v>
      </c>
      <c r="W139" s="7">
        <f>H139/B139</f>
        <v>1.9266567903189236</v>
      </c>
    </row>
    <row r="140" spans="1:24" s="76" customFormat="1" hidden="1" x14ac:dyDescent="0.25">
      <c r="A140" s="276" t="s">
        <v>323</v>
      </c>
      <c r="B140" s="63">
        <v>0</v>
      </c>
      <c r="C140" s="63">
        <v>541.05454810000003</v>
      </c>
      <c r="D140" s="63">
        <v>0.63605299999999998</v>
      </c>
      <c r="E140" s="63"/>
      <c r="F140" s="63"/>
      <c r="G140" s="63"/>
      <c r="H140" s="63">
        <v>0</v>
      </c>
      <c r="I140" s="63">
        <v>333.15206575000002</v>
      </c>
      <c r="J140" s="63">
        <v>0.54510400000000003</v>
      </c>
      <c r="K140" s="63"/>
      <c r="L140" s="63"/>
      <c r="M140" s="63"/>
      <c r="N140" s="63"/>
      <c r="O140" s="63"/>
      <c r="P140" s="63"/>
      <c r="Q140" s="63"/>
      <c r="R140" s="63"/>
      <c r="S140" s="277"/>
      <c r="T140" s="75"/>
      <c r="U140" s="75"/>
      <c r="V140" s="75"/>
      <c r="W140" s="75"/>
      <c r="X140" s="75"/>
    </row>
    <row r="141" spans="1:24" x14ac:dyDescent="0.25">
      <c r="A141" s="270" t="s">
        <v>306</v>
      </c>
      <c r="B141" s="32">
        <v>1920.0773383000001</v>
      </c>
      <c r="C141" s="32">
        <v>1911.8367719400001</v>
      </c>
      <c r="D141" s="32">
        <f>426.19134774-D142</f>
        <v>421.00838674000005</v>
      </c>
      <c r="E141" s="32"/>
      <c r="F141" s="32"/>
      <c r="G141" s="32"/>
      <c r="H141" s="32">
        <v>2011.7827012600001</v>
      </c>
      <c r="I141" s="32">
        <v>2004.00109329</v>
      </c>
      <c r="J141" s="32">
        <f>436.26942759-J142</f>
        <v>436.20907758999999</v>
      </c>
      <c r="K141" s="32"/>
      <c r="L141" s="32"/>
      <c r="M141" s="32"/>
      <c r="N141" s="32">
        <f t="shared" si="25"/>
        <v>91.705362960000002</v>
      </c>
      <c r="O141" s="32">
        <f t="shared" si="25"/>
        <v>92.164321349999909</v>
      </c>
      <c r="P141" s="32">
        <f t="shared" si="25"/>
        <v>15.200690849999944</v>
      </c>
      <c r="Q141" s="32">
        <f t="shared" si="26"/>
        <v>4.7761286032985595</v>
      </c>
      <c r="R141" s="32">
        <f t="shared" si="26"/>
        <v>4.8207212405731639</v>
      </c>
      <c r="S141" s="34">
        <f t="shared" si="27"/>
        <v>3.6105434781724028</v>
      </c>
    </row>
    <row r="142" spans="1:24" s="76" customFormat="1" hidden="1" x14ac:dyDescent="0.25">
      <c r="A142" s="276" t="s">
        <v>323</v>
      </c>
      <c r="B142" s="63">
        <v>0</v>
      </c>
      <c r="C142" s="63">
        <v>412.76782037999999</v>
      </c>
      <c r="D142" s="63">
        <v>5.1829609999999997</v>
      </c>
      <c r="E142" s="63"/>
      <c r="F142" s="63"/>
      <c r="G142" s="63"/>
      <c r="H142" s="63">
        <v>0</v>
      </c>
      <c r="I142" s="63">
        <v>428.42746962000001</v>
      </c>
      <c r="J142" s="63">
        <v>6.0350000000000001E-2</v>
      </c>
      <c r="K142" s="63"/>
      <c r="L142" s="63"/>
      <c r="M142" s="63"/>
      <c r="N142" s="63"/>
      <c r="O142" s="63"/>
      <c r="P142" s="63"/>
      <c r="Q142" s="63"/>
      <c r="R142" s="63"/>
      <c r="S142" s="277"/>
      <c r="T142" s="75"/>
      <c r="U142" s="75"/>
      <c r="V142" s="75"/>
      <c r="W142" s="75"/>
      <c r="X142" s="75"/>
    </row>
    <row r="143" spans="1:24" ht="26.4" x14ac:dyDescent="0.25">
      <c r="A143" s="270" t="s">
        <v>307</v>
      </c>
      <c r="B143" s="32">
        <v>163.07522852000002</v>
      </c>
      <c r="C143" s="32">
        <v>121.41253336</v>
      </c>
      <c r="D143" s="32">
        <f>142.57438938-D144</f>
        <v>142.53378938</v>
      </c>
      <c r="E143" s="32"/>
      <c r="F143" s="32"/>
      <c r="G143" s="32"/>
      <c r="H143" s="32">
        <v>129.71761255999999</v>
      </c>
      <c r="I143" s="32">
        <v>98.701187640000001</v>
      </c>
      <c r="J143" s="32">
        <f>126.83204156-J144</f>
        <v>126.73358155999999</v>
      </c>
      <c r="K143" s="32"/>
      <c r="L143" s="32"/>
      <c r="M143" s="32"/>
      <c r="N143" s="32">
        <f t="shared" si="25"/>
        <v>-33.357615960000032</v>
      </c>
      <c r="O143" s="32">
        <f t="shared" si="25"/>
        <v>-22.711345719999997</v>
      </c>
      <c r="P143" s="32">
        <f t="shared" si="25"/>
        <v>-15.800207820000011</v>
      </c>
      <c r="Q143" s="32">
        <f t="shared" si="26"/>
        <v>-20.455354416939514</v>
      </c>
      <c r="R143" s="32">
        <f t="shared" si="26"/>
        <v>-18.705931827201596</v>
      </c>
      <c r="S143" s="34">
        <f t="shared" si="27"/>
        <v>-11.08523662264821</v>
      </c>
    </row>
    <row r="144" spans="1:24" s="76" customFormat="1" hidden="1" x14ac:dyDescent="0.25">
      <c r="A144" s="276" t="s">
        <v>323</v>
      </c>
      <c r="B144" s="63">
        <v>19.142002050000002</v>
      </c>
      <c r="C144" s="63">
        <v>120.01309626999999</v>
      </c>
      <c r="D144" s="63">
        <v>4.0599999999999997E-2</v>
      </c>
      <c r="E144" s="63"/>
      <c r="F144" s="63"/>
      <c r="G144" s="63"/>
      <c r="H144" s="63">
        <v>0</v>
      </c>
      <c r="I144" s="63">
        <v>95.717156639999999</v>
      </c>
      <c r="J144" s="63">
        <v>9.8460000000000006E-2</v>
      </c>
      <c r="K144" s="63"/>
      <c r="L144" s="63"/>
      <c r="M144" s="63"/>
      <c r="N144" s="63"/>
      <c r="O144" s="63"/>
      <c r="P144" s="63"/>
      <c r="Q144" s="63"/>
      <c r="R144" s="63"/>
      <c r="S144" s="277"/>
      <c r="T144" s="75"/>
      <c r="U144" s="75"/>
      <c r="V144" s="75"/>
      <c r="W144" s="75"/>
      <c r="X144" s="75"/>
    </row>
    <row r="145" spans="1:24" x14ac:dyDescent="0.25">
      <c r="A145" s="107" t="s">
        <v>308</v>
      </c>
      <c r="B145" s="38">
        <v>481.89857093000001</v>
      </c>
      <c r="C145" s="38">
        <v>408.31453719000001</v>
      </c>
      <c r="D145" s="38">
        <v>121.90039899000001</v>
      </c>
      <c r="E145" s="38"/>
      <c r="F145" s="38"/>
      <c r="G145" s="38"/>
      <c r="H145" s="38">
        <v>378.67334248999998</v>
      </c>
      <c r="I145" s="38">
        <v>310.45474573000001</v>
      </c>
      <c r="J145" s="38">
        <v>77.924789759999996</v>
      </c>
      <c r="K145" s="38"/>
      <c r="L145" s="38"/>
      <c r="M145" s="38"/>
      <c r="N145" s="38">
        <f t="shared" si="25"/>
        <v>-103.22522844000002</v>
      </c>
      <c r="O145" s="38">
        <f t="shared" si="25"/>
        <v>-97.859791459999997</v>
      </c>
      <c r="P145" s="38">
        <f t="shared" si="25"/>
        <v>-43.975609230000018</v>
      </c>
      <c r="Q145" s="38">
        <f t="shared" si="26"/>
        <v>-21.420530100512451</v>
      </c>
      <c r="R145" s="38">
        <f t="shared" si="26"/>
        <v>-23.966766437821704</v>
      </c>
      <c r="S145" s="39">
        <f t="shared" si="27"/>
        <v>-36.075033055148168</v>
      </c>
    </row>
    <row r="146" spans="1:24" x14ac:dyDescent="0.25">
      <c r="A146" s="270" t="s">
        <v>309</v>
      </c>
      <c r="B146" s="32">
        <v>5.4031383600000007</v>
      </c>
      <c r="C146" s="32">
        <v>0</v>
      </c>
      <c r="D146" s="32">
        <f>6.00832836-D147</f>
        <v>5.4031383599999998</v>
      </c>
      <c r="E146" s="32"/>
      <c r="F146" s="32"/>
      <c r="G146" s="32"/>
      <c r="H146" s="32">
        <v>22.07683351</v>
      </c>
      <c r="I146" s="32">
        <v>0</v>
      </c>
      <c r="J146" s="32">
        <f>22.79105351-J147</f>
        <v>22.07683351</v>
      </c>
      <c r="K146" s="32"/>
      <c r="L146" s="32"/>
      <c r="M146" s="32"/>
      <c r="N146" s="32">
        <f t="shared" si="25"/>
        <v>16.67369515</v>
      </c>
      <c r="O146" s="32">
        <f t="shared" si="25"/>
        <v>0</v>
      </c>
      <c r="P146" s="32">
        <f t="shared" si="25"/>
        <v>16.67369515</v>
      </c>
      <c r="Q146" s="32">
        <f t="shared" si="26"/>
        <v>308.59278513830242</v>
      </c>
      <c r="R146" s="54" t="s">
        <v>30</v>
      </c>
      <c r="S146" s="34">
        <f t="shared" si="27"/>
        <v>308.59278513830253</v>
      </c>
    </row>
    <row r="147" spans="1:24" s="76" customFormat="1" hidden="1" x14ac:dyDescent="0.25">
      <c r="A147" s="276" t="s">
        <v>323</v>
      </c>
      <c r="B147" s="63">
        <v>0</v>
      </c>
      <c r="C147" s="63">
        <v>0</v>
      </c>
      <c r="D147" s="63">
        <v>0.60519000000000001</v>
      </c>
      <c r="E147" s="63"/>
      <c r="F147" s="63"/>
      <c r="G147" s="63"/>
      <c r="H147" s="63">
        <v>0</v>
      </c>
      <c r="I147" s="63">
        <v>0</v>
      </c>
      <c r="J147" s="63">
        <v>0.71421999999999997</v>
      </c>
      <c r="K147" s="63"/>
      <c r="L147" s="63"/>
      <c r="M147" s="63"/>
      <c r="N147" s="63"/>
      <c r="O147" s="63"/>
      <c r="P147" s="63"/>
      <c r="Q147" s="63"/>
      <c r="R147" s="63"/>
      <c r="S147" s="277"/>
      <c r="T147" s="75"/>
      <c r="U147" s="75"/>
      <c r="V147" s="75"/>
      <c r="W147" s="75"/>
      <c r="X147" s="75"/>
    </row>
    <row r="148" spans="1:24" x14ac:dyDescent="0.25">
      <c r="A148" s="270" t="s">
        <v>310</v>
      </c>
      <c r="B148" s="32">
        <v>174.23623909</v>
      </c>
      <c r="C148" s="32">
        <v>113.27309719</v>
      </c>
      <c r="D148" s="32">
        <f>111.0964119-D149</f>
        <v>108.67126715000001</v>
      </c>
      <c r="E148" s="32"/>
      <c r="F148" s="32"/>
      <c r="G148" s="32"/>
      <c r="H148" s="32">
        <v>63.676209289999996</v>
      </c>
      <c r="I148" s="32">
        <v>25.642069079999999</v>
      </c>
      <c r="J148" s="32">
        <f>50.17333321-J149</f>
        <v>47.740333210000003</v>
      </c>
      <c r="K148" s="32"/>
      <c r="L148" s="32"/>
      <c r="M148" s="32"/>
      <c r="N148" s="32">
        <f t="shared" si="25"/>
        <v>-110.5600298</v>
      </c>
      <c r="O148" s="32">
        <f t="shared" si="25"/>
        <v>-87.631028110000003</v>
      </c>
      <c r="P148" s="32">
        <f t="shared" si="25"/>
        <v>-60.930933940000003</v>
      </c>
      <c r="Q148" s="32">
        <f t="shared" si="26"/>
        <v>-63.454095644759249</v>
      </c>
      <c r="R148" s="32">
        <f t="shared" si="26"/>
        <v>-77.362613262892452</v>
      </c>
      <c r="S148" s="34">
        <f t="shared" si="27"/>
        <v>-56.069037877230635</v>
      </c>
    </row>
    <row r="149" spans="1:24" s="76" customFormat="1" hidden="1" x14ac:dyDescent="0.25">
      <c r="A149" s="276" t="s">
        <v>323</v>
      </c>
      <c r="B149" s="63">
        <v>0</v>
      </c>
      <c r="C149" s="63">
        <v>47.708125250000002</v>
      </c>
      <c r="D149" s="63">
        <v>2.4251447499999998</v>
      </c>
      <c r="E149" s="63"/>
      <c r="F149" s="63"/>
      <c r="G149" s="63"/>
      <c r="H149" s="63">
        <v>0</v>
      </c>
      <c r="I149" s="63">
        <v>9.7061930000000007</v>
      </c>
      <c r="J149" s="63">
        <v>2.4329999999999998</v>
      </c>
      <c r="K149" s="63"/>
      <c r="L149" s="63"/>
      <c r="M149" s="63"/>
      <c r="N149" s="63"/>
      <c r="O149" s="63"/>
      <c r="P149" s="63"/>
      <c r="Q149" s="63"/>
      <c r="R149" s="63"/>
      <c r="S149" s="277"/>
      <c r="T149" s="75"/>
      <c r="U149" s="75"/>
      <c r="V149" s="75"/>
      <c r="W149" s="75"/>
      <c r="X149" s="75"/>
    </row>
    <row r="150" spans="1:24" x14ac:dyDescent="0.25">
      <c r="A150" s="270" t="s">
        <v>311</v>
      </c>
      <c r="B150" s="32">
        <v>295.08141999999998</v>
      </c>
      <c r="C150" s="32">
        <v>295.04144000000002</v>
      </c>
      <c r="D150" s="32">
        <v>0.64822000000000002</v>
      </c>
      <c r="E150" s="32"/>
      <c r="F150" s="32"/>
      <c r="G150" s="32"/>
      <c r="H150" s="32">
        <v>273.3759</v>
      </c>
      <c r="I150" s="32">
        <v>272.86470000000003</v>
      </c>
      <c r="J150" s="32">
        <v>0.51119999999999999</v>
      </c>
      <c r="K150" s="32"/>
      <c r="L150" s="32"/>
      <c r="M150" s="32"/>
      <c r="N150" s="32">
        <f t="shared" si="25"/>
        <v>-21.705519999999979</v>
      </c>
      <c r="O150" s="32">
        <f t="shared" si="25"/>
        <v>-22.176739999999995</v>
      </c>
      <c r="P150" s="32">
        <f t="shared" si="25"/>
        <v>-0.13702000000000003</v>
      </c>
      <c r="Q150" s="32">
        <f t="shared" si="26"/>
        <v>-7.355773196428288</v>
      </c>
      <c r="R150" s="32">
        <f t="shared" si="26"/>
        <v>-7.5164831082711601</v>
      </c>
      <c r="S150" s="34">
        <f t="shared" si="27"/>
        <v>-21.137885285859753</v>
      </c>
    </row>
    <row r="151" spans="1:24" s="76" customFormat="1" hidden="1" x14ac:dyDescent="0.25">
      <c r="A151" s="276" t="s">
        <v>323</v>
      </c>
      <c r="B151" s="63">
        <v>0</v>
      </c>
      <c r="C151" s="63">
        <v>0.60824</v>
      </c>
      <c r="D151" s="63">
        <v>0</v>
      </c>
      <c r="E151" s="63"/>
      <c r="F151" s="63"/>
      <c r="G151" s="63"/>
      <c r="H151" s="63">
        <v>0</v>
      </c>
      <c r="I151" s="63">
        <v>0</v>
      </c>
      <c r="J151" s="63">
        <v>0</v>
      </c>
      <c r="K151" s="63"/>
      <c r="L151" s="63"/>
      <c r="M151" s="63"/>
      <c r="N151" s="63"/>
      <c r="O151" s="63"/>
      <c r="P151" s="63"/>
      <c r="Q151" s="63"/>
      <c r="R151" s="63"/>
      <c r="S151" s="277"/>
      <c r="T151" s="75"/>
      <c r="U151" s="75"/>
      <c r="V151" s="75"/>
      <c r="W151" s="75"/>
      <c r="X151" s="75"/>
    </row>
    <row r="152" spans="1:24" ht="26.4" x14ac:dyDescent="0.25">
      <c r="A152" s="270" t="s">
        <v>312</v>
      </c>
      <c r="B152" s="32">
        <v>7.1777734800000008</v>
      </c>
      <c r="C152" s="32">
        <v>0</v>
      </c>
      <c r="D152" s="32">
        <f>7.53777348-D153</f>
        <v>7.1777734799999999</v>
      </c>
      <c r="E152" s="32"/>
      <c r="F152" s="32"/>
      <c r="G152" s="32"/>
      <c r="H152" s="32">
        <v>19.544399690000002</v>
      </c>
      <c r="I152" s="32">
        <v>11.947976650000001</v>
      </c>
      <c r="J152" s="32">
        <f>7.86642304-J153</f>
        <v>7.5964230399999995</v>
      </c>
      <c r="K152" s="32"/>
      <c r="L152" s="32"/>
      <c r="M152" s="32"/>
      <c r="N152" s="32">
        <f t="shared" si="25"/>
        <v>12.366626210000002</v>
      </c>
      <c r="O152" s="32">
        <f t="shared" si="25"/>
        <v>11.947976650000001</v>
      </c>
      <c r="P152" s="32">
        <f t="shared" si="25"/>
        <v>0.41864955999999953</v>
      </c>
      <c r="Q152" s="32">
        <f t="shared" si="26"/>
        <v>172.29056119502951</v>
      </c>
      <c r="R152" s="54" t="s">
        <v>30</v>
      </c>
      <c r="S152" s="34">
        <f t="shared" si="27"/>
        <v>5.8325825016144108</v>
      </c>
    </row>
    <row r="153" spans="1:24" s="76" customFormat="1" hidden="1" x14ac:dyDescent="0.25">
      <c r="A153" s="276" t="s">
        <v>323</v>
      </c>
      <c r="B153" s="63">
        <v>0</v>
      </c>
      <c r="C153" s="63">
        <v>0</v>
      </c>
      <c r="D153" s="63">
        <v>0.36</v>
      </c>
      <c r="E153" s="63"/>
      <c r="F153" s="63"/>
      <c r="G153" s="63"/>
      <c r="H153" s="63">
        <v>0</v>
      </c>
      <c r="I153" s="63">
        <v>0</v>
      </c>
      <c r="J153" s="63">
        <v>0.27</v>
      </c>
      <c r="K153" s="63"/>
      <c r="L153" s="63"/>
      <c r="M153" s="63"/>
      <c r="N153" s="63"/>
      <c r="O153" s="63"/>
      <c r="P153" s="63"/>
      <c r="Q153" s="63"/>
      <c r="R153" s="63"/>
      <c r="S153" s="277"/>
      <c r="T153" s="75"/>
      <c r="U153" s="75"/>
      <c r="V153" s="75"/>
      <c r="W153" s="75"/>
      <c r="X153" s="75"/>
    </row>
    <row r="154" spans="1:24" x14ac:dyDescent="0.25">
      <c r="A154" s="107" t="s">
        <v>313</v>
      </c>
      <c r="B154" s="38">
        <v>74.542946479999998</v>
      </c>
      <c r="C154" s="38">
        <v>59.827536630000004</v>
      </c>
      <c r="D154" s="38">
        <v>14.71540985</v>
      </c>
      <c r="E154" s="38"/>
      <c r="F154" s="38"/>
      <c r="G154" s="38"/>
      <c r="H154" s="38">
        <v>60.353011070000001</v>
      </c>
      <c r="I154" s="38">
        <v>42.265736070000003</v>
      </c>
      <c r="J154" s="38">
        <v>18.087275000000002</v>
      </c>
      <c r="K154" s="38"/>
      <c r="L154" s="38"/>
      <c r="M154" s="38"/>
      <c r="N154" s="38">
        <f>H154-B154</f>
        <v>-14.189935409999997</v>
      </c>
      <c r="O154" s="38">
        <f t="shared" si="25"/>
        <v>-17.561800560000002</v>
      </c>
      <c r="P154" s="38">
        <f t="shared" si="25"/>
        <v>3.3718651500000014</v>
      </c>
      <c r="Q154" s="38">
        <f t="shared" si="26"/>
        <v>-19.035919667875191</v>
      </c>
      <c r="R154" s="38">
        <f t="shared" si="26"/>
        <v>-29.354042551693141</v>
      </c>
      <c r="S154" s="39">
        <f t="shared" si="27"/>
        <v>22.913837836463671</v>
      </c>
    </row>
    <row r="155" spans="1:24" x14ac:dyDescent="0.25">
      <c r="A155" s="270" t="s">
        <v>314</v>
      </c>
      <c r="B155" s="32"/>
      <c r="C155" s="32"/>
      <c r="D155" s="32"/>
      <c r="E155" s="32"/>
      <c r="F155" s="32"/>
      <c r="G155" s="32"/>
      <c r="H155" s="32">
        <v>4.8952</v>
      </c>
      <c r="I155" s="32">
        <v>0</v>
      </c>
      <c r="J155" s="32">
        <v>4.8952</v>
      </c>
      <c r="K155" s="32"/>
      <c r="L155" s="32"/>
      <c r="M155" s="32"/>
      <c r="N155" s="32">
        <f t="shared" ref="N155:P169" si="47">H155-B155</f>
        <v>4.8952</v>
      </c>
      <c r="O155" s="32">
        <f t="shared" si="25"/>
        <v>0</v>
      </c>
      <c r="P155" s="32">
        <f t="shared" si="25"/>
        <v>4.8952</v>
      </c>
      <c r="Q155" s="54" t="s">
        <v>30</v>
      </c>
      <c r="R155" s="54" t="s">
        <v>30</v>
      </c>
      <c r="S155" s="50" t="s">
        <v>30</v>
      </c>
    </row>
    <row r="156" spans="1:24" x14ac:dyDescent="0.25">
      <c r="A156" s="270" t="s">
        <v>315</v>
      </c>
      <c r="B156" s="32">
        <v>49.707209849999998</v>
      </c>
      <c r="C156" s="32">
        <v>34.991799999999998</v>
      </c>
      <c r="D156" s="32">
        <v>14.71540985</v>
      </c>
      <c r="E156" s="32"/>
      <c r="F156" s="32"/>
      <c r="G156" s="32"/>
      <c r="H156" s="32">
        <v>43.038175000000003</v>
      </c>
      <c r="I156" s="32">
        <v>29.8461</v>
      </c>
      <c r="J156" s="32">
        <v>13.192075000000001</v>
      </c>
      <c r="K156" s="32"/>
      <c r="L156" s="32"/>
      <c r="M156" s="32"/>
      <c r="N156" s="32">
        <f t="shared" si="47"/>
        <v>-6.6690348499999956</v>
      </c>
      <c r="O156" s="32">
        <f t="shared" si="25"/>
        <v>-5.1456999999999979</v>
      </c>
      <c r="P156" s="32">
        <f t="shared" si="25"/>
        <v>-1.5233348499999995</v>
      </c>
      <c r="Q156" s="32">
        <f t="shared" si="26"/>
        <v>-13.4166348707259</v>
      </c>
      <c r="R156" s="32">
        <f t="shared" si="26"/>
        <v>-14.705445275750307</v>
      </c>
      <c r="S156" s="34">
        <f t="shared" si="27"/>
        <v>-10.351970251103808</v>
      </c>
    </row>
    <row r="157" spans="1:24" ht="26.4" x14ac:dyDescent="0.25">
      <c r="A157" s="270" t="s">
        <v>316</v>
      </c>
      <c r="B157" s="32">
        <v>24.83573663</v>
      </c>
      <c r="C157" s="32">
        <v>24.83573663</v>
      </c>
      <c r="D157" s="32">
        <v>0</v>
      </c>
      <c r="E157" s="32"/>
      <c r="F157" s="32"/>
      <c r="G157" s="32"/>
      <c r="H157" s="32">
        <v>12.419636070000001</v>
      </c>
      <c r="I157" s="32">
        <v>12.419636070000001</v>
      </c>
      <c r="J157" s="32">
        <v>0</v>
      </c>
      <c r="K157" s="32"/>
      <c r="L157" s="32"/>
      <c r="M157" s="32"/>
      <c r="N157" s="32">
        <f t="shared" si="47"/>
        <v>-12.416100559999999</v>
      </c>
      <c r="O157" s="32">
        <f t="shared" si="25"/>
        <v>-12.416100559999999</v>
      </c>
      <c r="P157" s="32">
        <f t="shared" si="25"/>
        <v>0</v>
      </c>
      <c r="Q157" s="32">
        <f t="shared" si="26"/>
        <v>-49.992882212328396</v>
      </c>
      <c r="R157" s="32">
        <f t="shared" si="26"/>
        <v>-49.992882212328396</v>
      </c>
      <c r="S157" s="50" t="s">
        <v>30</v>
      </c>
    </row>
    <row r="158" spans="1:24" ht="26.4" x14ac:dyDescent="0.25">
      <c r="A158" s="107" t="s">
        <v>317</v>
      </c>
      <c r="B158" s="38">
        <v>1051.4333517699999</v>
      </c>
      <c r="C158" s="38">
        <v>801.27699720999999</v>
      </c>
      <c r="D158" s="38">
        <v>250.15635456000001</v>
      </c>
      <c r="E158" s="38"/>
      <c r="F158" s="38"/>
      <c r="G158" s="38"/>
      <c r="H158" s="38">
        <v>1452.3638964300001</v>
      </c>
      <c r="I158" s="38">
        <v>1217.99500648</v>
      </c>
      <c r="J158" s="38">
        <v>234.36888995000001</v>
      </c>
      <c r="K158" s="38">
        <f t="shared" ref="K158:M158" si="48">+K159</f>
        <v>0</v>
      </c>
      <c r="L158" s="38">
        <f t="shared" si="48"/>
        <v>0</v>
      </c>
      <c r="M158" s="38">
        <f t="shared" si="48"/>
        <v>0</v>
      </c>
      <c r="N158" s="38">
        <f t="shared" si="47"/>
        <v>400.93054466000012</v>
      </c>
      <c r="O158" s="38">
        <f t="shared" si="25"/>
        <v>416.71800927000004</v>
      </c>
      <c r="P158" s="38">
        <f t="shared" si="25"/>
        <v>-15.787464610000001</v>
      </c>
      <c r="Q158" s="38">
        <f t="shared" si="26"/>
        <v>38.131807782687048</v>
      </c>
      <c r="R158" s="38">
        <f t="shared" si="26"/>
        <v>52.006735588440449</v>
      </c>
      <c r="S158" s="39">
        <f t="shared" si="27"/>
        <v>-6.3110388052178763</v>
      </c>
    </row>
    <row r="159" spans="1:24" ht="26.4" x14ac:dyDescent="0.25">
      <c r="A159" s="270" t="s">
        <v>318</v>
      </c>
      <c r="B159" s="32">
        <v>1051.4333517699999</v>
      </c>
      <c r="C159" s="32">
        <v>801.27699720999999</v>
      </c>
      <c r="D159" s="32">
        <v>250.15635456000001</v>
      </c>
      <c r="E159" s="32"/>
      <c r="F159" s="32"/>
      <c r="G159" s="32"/>
      <c r="H159" s="32">
        <v>1452.3638964300001</v>
      </c>
      <c r="I159" s="32">
        <v>1217.99500648</v>
      </c>
      <c r="J159" s="32">
        <v>234.36888995000001</v>
      </c>
      <c r="K159" s="32"/>
      <c r="L159" s="32"/>
      <c r="M159" s="32"/>
      <c r="N159" s="32">
        <f t="shared" si="47"/>
        <v>400.93054466000012</v>
      </c>
      <c r="O159" s="32">
        <f t="shared" si="25"/>
        <v>416.71800927000004</v>
      </c>
      <c r="P159" s="32">
        <f t="shared" si="25"/>
        <v>-15.787464610000001</v>
      </c>
      <c r="Q159" s="32">
        <f t="shared" si="26"/>
        <v>38.131807782687048</v>
      </c>
      <c r="R159" s="32">
        <f t="shared" si="26"/>
        <v>52.006735588440449</v>
      </c>
      <c r="S159" s="34">
        <f t="shared" si="27"/>
        <v>-6.3110388052178763</v>
      </c>
    </row>
    <row r="160" spans="1:24" ht="39.6" x14ac:dyDescent="0.25">
      <c r="A160" s="107" t="s">
        <v>319</v>
      </c>
      <c r="B160" s="38"/>
      <c r="C160" s="38">
        <v>2543.8550169999999</v>
      </c>
      <c r="D160" s="38"/>
      <c r="E160" s="38"/>
      <c r="F160" s="38"/>
      <c r="G160" s="38"/>
      <c r="H160" s="38">
        <v>0</v>
      </c>
      <c r="I160" s="38">
        <v>2342.7865824800001</v>
      </c>
      <c r="J160" s="38"/>
      <c r="K160" s="38">
        <f t="shared" ref="K160:M160" si="49">SUM(K161:K163)</f>
        <v>0</v>
      </c>
      <c r="L160" s="38">
        <f t="shared" si="49"/>
        <v>0</v>
      </c>
      <c r="M160" s="38">
        <f t="shared" si="49"/>
        <v>0</v>
      </c>
      <c r="N160" s="38">
        <f>H160-B160</f>
        <v>0</v>
      </c>
      <c r="O160" s="38">
        <f t="shared" si="25"/>
        <v>-201.06843451999976</v>
      </c>
      <c r="P160" s="38">
        <f t="shared" si="25"/>
        <v>0</v>
      </c>
      <c r="Q160" s="109" t="s">
        <v>30</v>
      </c>
      <c r="R160" s="38">
        <f t="shared" si="26"/>
        <v>-7.9040838874977339</v>
      </c>
      <c r="S160" s="116" t="s">
        <v>30</v>
      </c>
    </row>
    <row r="161" spans="1:24" ht="39.6" x14ac:dyDescent="0.25">
      <c r="A161" s="270" t="s">
        <v>320</v>
      </c>
      <c r="B161" s="32"/>
      <c r="C161" s="32">
        <v>946.45299999999997</v>
      </c>
      <c r="D161" s="32"/>
      <c r="E161" s="32"/>
      <c r="F161" s="32"/>
      <c r="G161" s="32"/>
      <c r="H161" s="32"/>
      <c r="I161" s="32">
        <v>1005.3351</v>
      </c>
      <c r="J161" s="32"/>
      <c r="K161" s="32"/>
      <c r="L161" s="32"/>
      <c r="M161" s="32"/>
      <c r="N161" s="32"/>
      <c r="O161" s="32">
        <f t="shared" si="25"/>
        <v>58.882100000000037</v>
      </c>
      <c r="P161" s="32"/>
      <c r="Q161" s="54" t="s">
        <v>30</v>
      </c>
      <c r="R161" s="32">
        <f t="shared" si="26"/>
        <v>6.221344324546493</v>
      </c>
      <c r="S161" s="50" t="s">
        <v>30</v>
      </c>
    </row>
    <row r="162" spans="1:24" x14ac:dyDescent="0.25">
      <c r="A162" s="270" t="s">
        <v>321</v>
      </c>
      <c r="B162" s="32"/>
      <c r="C162" s="32">
        <v>112.65770000000001</v>
      </c>
      <c r="D162" s="32"/>
      <c r="E162" s="32"/>
      <c r="F162" s="32"/>
      <c r="G162" s="32"/>
      <c r="H162" s="32"/>
      <c r="I162" s="32">
        <v>129.22730000000001</v>
      </c>
      <c r="J162" s="32"/>
      <c r="K162" s="32"/>
      <c r="L162" s="32"/>
      <c r="M162" s="32"/>
      <c r="N162" s="32"/>
      <c r="O162" s="32">
        <f t="shared" si="25"/>
        <v>16.569600000000008</v>
      </c>
      <c r="P162" s="32"/>
      <c r="Q162" s="54" t="s">
        <v>30</v>
      </c>
      <c r="R162" s="32">
        <f t="shared" si="26"/>
        <v>14.707916103382189</v>
      </c>
      <c r="S162" s="50" t="s">
        <v>30</v>
      </c>
    </row>
    <row r="163" spans="1:24" ht="26.4" x14ac:dyDescent="0.25">
      <c r="A163" s="270" t="s">
        <v>322</v>
      </c>
      <c r="B163" s="32"/>
      <c r="C163" s="32">
        <v>1484.7443169999999</v>
      </c>
      <c r="D163" s="32"/>
      <c r="E163" s="32"/>
      <c r="F163" s="32"/>
      <c r="G163" s="32"/>
      <c r="H163" s="32"/>
      <c r="I163" s="32">
        <v>1208.2241824800001</v>
      </c>
      <c r="J163" s="32"/>
      <c r="K163" s="32"/>
      <c r="L163" s="32"/>
      <c r="M163" s="32"/>
      <c r="N163" s="32"/>
      <c r="O163" s="32">
        <f t="shared" si="25"/>
        <v>-276.52013451999983</v>
      </c>
      <c r="P163" s="32"/>
      <c r="Q163" s="54" t="s">
        <v>30</v>
      </c>
      <c r="R163" s="32">
        <f t="shared" si="26"/>
        <v>-18.624091121542222</v>
      </c>
      <c r="S163" s="50" t="s">
        <v>30</v>
      </c>
    </row>
    <row r="164" spans="1:24" s="42" customFormat="1" x14ac:dyDescent="0.25">
      <c r="A164" s="267" t="s">
        <v>103</v>
      </c>
      <c r="B164" s="268">
        <f t="shared" ref="B164:J164" si="50">+B52+B68+B71+B78+B94+B103+B107+B121+B126+B135+B145+B154+B158+B160</f>
        <v>58642.935311990004</v>
      </c>
      <c r="C164" s="268">
        <f t="shared" si="50"/>
        <v>49251.332541350006</v>
      </c>
      <c r="D164" s="268">
        <f t="shared" si="50"/>
        <v>24012.864588430002</v>
      </c>
      <c r="E164" s="268">
        <f t="shared" si="50"/>
        <v>0</v>
      </c>
      <c r="F164" s="268">
        <f t="shared" si="50"/>
        <v>0</v>
      </c>
      <c r="G164" s="268">
        <f t="shared" si="50"/>
        <v>0</v>
      </c>
      <c r="H164" s="268">
        <f t="shared" si="50"/>
        <v>59227.223310889996</v>
      </c>
      <c r="I164" s="268">
        <f t="shared" si="50"/>
        <v>49823.714067760004</v>
      </c>
      <c r="J164" s="268">
        <f t="shared" si="50"/>
        <v>23406.471420340004</v>
      </c>
      <c r="K164" s="268"/>
      <c r="L164" s="268"/>
      <c r="M164" s="268"/>
      <c r="N164" s="268">
        <f t="shared" si="47"/>
        <v>584.28799889999209</v>
      </c>
      <c r="O164" s="268">
        <f t="shared" si="25"/>
        <v>572.3815264099976</v>
      </c>
      <c r="P164" s="268">
        <f t="shared" si="25"/>
        <v>-606.39316808999865</v>
      </c>
      <c r="Q164" s="268">
        <f t="shared" si="26"/>
        <v>0.99634848731818693</v>
      </c>
      <c r="R164" s="268">
        <f>I164/C164%-100</f>
        <v>1.1621645483996588</v>
      </c>
      <c r="S164" s="269">
        <f t="shared" si="27"/>
        <v>-2.5252845859222219</v>
      </c>
      <c r="T164" s="68"/>
      <c r="U164" s="68">
        <f>15599.5/J164%</f>
        <v>66.64609850780063</v>
      </c>
      <c r="V164" s="68"/>
      <c r="W164" s="68"/>
      <c r="X164" s="68"/>
    </row>
    <row r="165" spans="1:24" s="42" customFormat="1" ht="26.4" x14ac:dyDescent="0.25">
      <c r="A165" s="121" t="s">
        <v>106</v>
      </c>
      <c r="B165" s="365">
        <f t="shared" ref="B165:M165" si="51">+B48-B164</f>
        <v>-5159.7577674000058</v>
      </c>
      <c r="C165" s="365">
        <f t="shared" si="51"/>
        <v>-4031.4229303500033</v>
      </c>
      <c r="D165" s="365">
        <f t="shared" si="51"/>
        <v>-1128.3348370500062</v>
      </c>
      <c r="E165" s="365">
        <f t="shared" si="51"/>
        <v>0</v>
      </c>
      <c r="F165" s="365">
        <f t="shared" si="51"/>
        <v>0</v>
      </c>
      <c r="G165" s="365">
        <f t="shared" si="51"/>
        <v>0</v>
      </c>
      <c r="H165" s="365">
        <f t="shared" si="51"/>
        <v>-885.14936021000176</v>
      </c>
      <c r="I165" s="365">
        <f t="shared" si="51"/>
        <v>-775.90033078999841</v>
      </c>
      <c r="J165" s="365">
        <f t="shared" si="51"/>
        <v>-109.24902941999608</v>
      </c>
      <c r="K165" s="365">
        <f t="shared" si="51"/>
        <v>18047.763029440004</v>
      </c>
      <c r="L165" s="365">
        <f t="shared" si="51"/>
        <v>15144.476821979999</v>
      </c>
      <c r="M165" s="365">
        <f t="shared" si="51"/>
        <v>4194.2491358300003</v>
      </c>
      <c r="N165" s="365">
        <f t="shared" si="47"/>
        <v>4274.6084071900041</v>
      </c>
      <c r="O165" s="365">
        <f t="shared" si="25"/>
        <v>3255.5225995600049</v>
      </c>
      <c r="P165" s="365">
        <f t="shared" si="25"/>
        <v>1019.0858076300101</v>
      </c>
      <c r="Q165" s="365">
        <f t="shared" si="26"/>
        <v>-82.845137308528592</v>
      </c>
      <c r="R165" s="365">
        <f t="shared" si="26"/>
        <v>-80.753685629241687</v>
      </c>
      <c r="S165" s="366">
        <f t="shared" si="27"/>
        <v>-90.317676470432829</v>
      </c>
      <c r="T165" s="68"/>
      <c r="U165" s="68"/>
      <c r="V165" s="68"/>
      <c r="W165" s="68"/>
      <c r="X165" s="68"/>
    </row>
    <row r="166" spans="1:24" s="42" customFormat="1" ht="26.4" x14ac:dyDescent="0.25">
      <c r="A166" s="35" t="s">
        <v>110</v>
      </c>
      <c r="B166" s="38">
        <v>5159.7577673999995</v>
      </c>
      <c r="C166" s="38">
        <v>4031.4229303500001</v>
      </c>
      <c r="D166" s="38">
        <v>1128.33483705</v>
      </c>
      <c r="E166" s="38"/>
      <c r="F166" s="38"/>
      <c r="G166" s="38"/>
      <c r="H166" s="38">
        <v>885.14936021000005</v>
      </c>
      <c r="I166" s="38">
        <v>775.90033079</v>
      </c>
      <c r="J166" s="38">
        <v>109.24902942</v>
      </c>
      <c r="K166" s="38"/>
      <c r="L166" s="38"/>
      <c r="M166" s="38"/>
      <c r="N166" s="38">
        <f t="shared" si="47"/>
        <v>-4274.6084071899995</v>
      </c>
      <c r="O166" s="38">
        <f t="shared" si="25"/>
        <v>-3255.5225995600003</v>
      </c>
      <c r="P166" s="38">
        <f t="shared" si="25"/>
        <v>-1019.0858076300001</v>
      </c>
      <c r="Q166" s="38">
        <f t="shared" si="26"/>
        <v>-82.845137308528606</v>
      </c>
      <c r="R166" s="38">
        <f t="shared" si="26"/>
        <v>-80.75368562924163</v>
      </c>
      <c r="S166" s="39">
        <f t="shared" si="27"/>
        <v>-90.317676470432431</v>
      </c>
      <c r="T166" s="68"/>
      <c r="U166" s="68"/>
      <c r="V166" s="68"/>
      <c r="W166" s="68"/>
      <c r="X166" s="68"/>
    </row>
    <row r="167" spans="1:24" x14ac:dyDescent="0.25">
      <c r="A167" s="43" t="s">
        <v>111</v>
      </c>
      <c r="B167" s="32">
        <v>-13169.1896</v>
      </c>
      <c r="C167" s="32">
        <v>-12448.404500000001</v>
      </c>
      <c r="D167" s="32">
        <v>-720.78510000000006</v>
      </c>
      <c r="E167" s="32"/>
      <c r="F167" s="32"/>
      <c r="G167" s="32"/>
      <c r="H167" s="32">
        <v>-7557.4501829999999</v>
      </c>
      <c r="I167" s="32">
        <v>-6881.0781820000002</v>
      </c>
      <c r="J167" s="32">
        <v>-676.37200099999995</v>
      </c>
      <c r="K167" s="32"/>
      <c r="L167" s="32"/>
      <c r="M167" s="32"/>
      <c r="N167" s="32">
        <f t="shared" si="47"/>
        <v>5611.7394169999998</v>
      </c>
      <c r="O167" s="32">
        <f t="shared" si="25"/>
        <v>5567.3263180000004</v>
      </c>
      <c r="P167" s="32">
        <f t="shared" si="25"/>
        <v>44.413099000000102</v>
      </c>
      <c r="Q167" s="32">
        <f t="shared" si="26"/>
        <v>-42.612640469539592</v>
      </c>
      <c r="R167" s="32">
        <f t="shared" si="26"/>
        <v>-44.723211862210938</v>
      </c>
      <c r="S167" s="34">
        <f t="shared" si="27"/>
        <v>-6.1617670787035053</v>
      </c>
    </row>
    <row r="168" spans="1:24" x14ac:dyDescent="0.25">
      <c r="A168" s="43" t="s">
        <v>112</v>
      </c>
      <c r="B168" s="32">
        <v>11642.001</v>
      </c>
      <c r="C168" s="32">
        <v>11111.066000000001</v>
      </c>
      <c r="D168" s="32">
        <v>530.93499999999995</v>
      </c>
      <c r="E168" s="32"/>
      <c r="F168" s="32"/>
      <c r="G168" s="32"/>
      <c r="H168" s="32">
        <v>3712.3890000000001</v>
      </c>
      <c r="I168" s="32">
        <v>3302.3229999999999</v>
      </c>
      <c r="J168" s="32">
        <v>410.06599999999997</v>
      </c>
      <c r="K168" s="32"/>
      <c r="L168" s="32"/>
      <c r="M168" s="32"/>
      <c r="N168" s="32">
        <f t="shared" si="47"/>
        <v>-7929.6120000000001</v>
      </c>
      <c r="O168" s="32">
        <f t="shared" si="25"/>
        <v>-7808.7430000000004</v>
      </c>
      <c r="P168" s="32">
        <f t="shared" si="25"/>
        <v>-120.86899999999997</v>
      </c>
      <c r="Q168" s="32">
        <f t="shared" si="26"/>
        <v>-68.112105470528647</v>
      </c>
      <c r="R168" s="32">
        <f t="shared" si="26"/>
        <v>-70.278972332627674</v>
      </c>
      <c r="S168" s="34">
        <f t="shared" si="27"/>
        <v>-22.765310254550926</v>
      </c>
    </row>
    <row r="169" spans="1:24" ht="26.4" x14ac:dyDescent="0.25">
      <c r="A169" s="43" t="s">
        <v>113</v>
      </c>
      <c r="B169" s="32">
        <v>16.684550000000002</v>
      </c>
      <c r="C169" s="32">
        <v>10.66455</v>
      </c>
      <c r="D169" s="32">
        <v>6.02</v>
      </c>
      <c r="E169" s="32"/>
      <c r="F169" s="32"/>
      <c r="G169" s="32"/>
      <c r="H169" s="32">
        <v>19.531649999999999</v>
      </c>
      <c r="I169" s="32">
        <v>19.531649999999999</v>
      </c>
      <c r="J169" s="32">
        <v>0</v>
      </c>
      <c r="K169" s="32"/>
      <c r="L169" s="32"/>
      <c r="M169" s="32"/>
      <c r="N169" s="32">
        <f t="shared" si="47"/>
        <v>2.8470999999999975</v>
      </c>
      <c r="O169" s="32">
        <f t="shared" si="47"/>
        <v>8.8670999999999989</v>
      </c>
      <c r="P169" s="32">
        <f t="shared" si="47"/>
        <v>-6.02</v>
      </c>
      <c r="Q169" s="32">
        <f t="shared" ref="Q169:S172" si="52">H169/B169%-100</f>
        <v>17.064290016811952</v>
      </c>
      <c r="R169" s="32">
        <f t="shared" si="52"/>
        <v>83.145561697399302</v>
      </c>
      <c r="S169" s="34">
        <f t="shared" si="52"/>
        <v>-100</v>
      </c>
    </row>
    <row r="170" spans="1:24" x14ac:dyDescent="0.25">
      <c r="A170" s="43" t="s">
        <v>115</v>
      </c>
      <c r="B170" s="32">
        <v>0</v>
      </c>
      <c r="C170" s="32">
        <v>0</v>
      </c>
      <c r="D170" s="32">
        <v>0</v>
      </c>
      <c r="E170" s="32"/>
      <c r="F170" s="32"/>
      <c r="G170" s="32"/>
      <c r="H170" s="32">
        <v>58.756876720000001</v>
      </c>
      <c r="I170" s="32">
        <v>58.756876720000001</v>
      </c>
      <c r="J170" s="32">
        <v>0</v>
      </c>
      <c r="K170" s="32"/>
      <c r="L170" s="32"/>
      <c r="M170" s="32"/>
      <c r="N170" s="32">
        <f t="shared" ref="N170:N171" si="53">H170-B170</f>
        <v>58.756876720000001</v>
      </c>
      <c r="O170" s="32">
        <f t="shared" ref="O170:O171" si="54">I170-C170</f>
        <v>58.756876720000001</v>
      </c>
      <c r="P170" s="32">
        <f t="shared" ref="P170:P171" si="55">J170-D170</f>
        <v>0</v>
      </c>
      <c r="Q170" s="54" t="s">
        <v>30</v>
      </c>
      <c r="R170" s="54" t="s">
        <v>30</v>
      </c>
      <c r="S170" s="50" t="s">
        <v>30</v>
      </c>
    </row>
    <row r="171" spans="1:24" ht="26.4" x14ac:dyDescent="0.25">
      <c r="A171" s="278" t="s">
        <v>324</v>
      </c>
      <c r="B171" s="279">
        <v>4195.2195068800002</v>
      </c>
      <c r="C171" s="279">
        <v>3191.1921083400002</v>
      </c>
      <c r="D171" s="279">
        <v>1004.0273985399999</v>
      </c>
      <c r="E171" s="279"/>
      <c r="F171" s="279"/>
      <c r="G171" s="279"/>
      <c r="H171" s="279">
        <v>3555.42569048</v>
      </c>
      <c r="I171" s="279">
        <v>2516.90298373</v>
      </c>
      <c r="J171" s="279">
        <v>1038.5227067500002</v>
      </c>
      <c r="K171" s="279"/>
      <c r="L171" s="279"/>
      <c r="M171" s="279"/>
      <c r="N171" s="32">
        <f t="shared" si="53"/>
        <v>-639.7938164000002</v>
      </c>
      <c r="O171" s="32">
        <f t="shared" si="54"/>
        <v>-674.28912461000027</v>
      </c>
      <c r="P171" s="32">
        <f t="shared" si="55"/>
        <v>34.495308210000303</v>
      </c>
      <c r="Q171" s="32">
        <f t="shared" ref="Q171" si="56">H171/B171%-100</f>
        <v>-15.250544467357727</v>
      </c>
      <c r="R171" s="32">
        <f t="shared" ref="R171" si="57">I171/C171%-100</f>
        <v>-21.129693911180837</v>
      </c>
      <c r="S171" s="34">
        <f t="shared" ref="S171" si="58">J171/D171%-100</f>
        <v>3.4356939123535284</v>
      </c>
    </row>
    <row r="172" spans="1:24" ht="13.8" thickBot="1" x14ac:dyDescent="0.3">
      <c r="A172" s="156" t="s">
        <v>117</v>
      </c>
      <c r="B172" s="159">
        <v>2475.0423105199998</v>
      </c>
      <c r="C172" s="159">
        <v>2166.9047720100002</v>
      </c>
      <c r="D172" s="159">
        <v>308.13753851000001</v>
      </c>
      <c r="E172" s="159"/>
      <c r="F172" s="159"/>
      <c r="G172" s="159"/>
      <c r="H172" s="159">
        <v>1096.4963260100001</v>
      </c>
      <c r="I172" s="159">
        <v>1759.46400234</v>
      </c>
      <c r="J172" s="159">
        <v>-662.96767633000002</v>
      </c>
      <c r="K172" s="159"/>
      <c r="L172" s="159"/>
      <c r="M172" s="159"/>
      <c r="N172" s="159">
        <f t="shared" ref="N172:P172" si="59">H172-B172</f>
        <v>-1378.5459845099997</v>
      </c>
      <c r="O172" s="159">
        <f t="shared" si="59"/>
        <v>-407.44076967000024</v>
      </c>
      <c r="P172" s="159">
        <f t="shared" si="59"/>
        <v>-971.10521484000003</v>
      </c>
      <c r="Q172" s="159">
        <f t="shared" si="52"/>
        <v>-55.697875492898987</v>
      </c>
      <c r="R172" s="159">
        <f t="shared" si="52"/>
        <v>-18.802892260561237</v>
      </c>
      <c r="S172" s="160">
        <f t="shared" si="52"/>
        <v>-315.15316813906611</v>
      </c>
    </row>
    <row r="173" spans="1:24" ht="13.8" thickTop="1" x14ac:dyDescent="0.25"/>
    <row r="174" spans="1:24" x14ac:dyDescent="0.25">
      <c r="I174" s="7"/>
    </row>
    <row r="175" spans="1:24" x14ac:dyDescent="0.25">
      <c r="H175" s="7"/>
      <c r="I175" s="7"/>
    </row>
  </sheetData>
  <mergeCells count="25">
    <mergeCell ref="Q1:S1"/>
    <mergeCell ref="A2:S2"/>
    <mergeCell ref="A4:A7"/>
    <mergeCell ref="B4:G4"/>
    <mergeCell ref="H4:M4"/>
    <mergeCell ref="N4:P4"/>
    <mergeCell ref="Q4:S4"/>
    <mergeCell ref="B5:B7"/>
    <mergeCell ref="C5:G5"/>
    <mergeCell ref="H5:H7"/>
    <mergeCell ref="C6:C7"/>
    <mergeCell ref="D6:D7"/>
    <mergeCell ref="E6:G6"/>
    <mergeCell ref="I6:I7"/>
    <mergeCell ref="J6:J7"/>
    <mergeCell ref="I5:M5"/>
    <mergeCell ref="N5:N7"/>
    <mergeCell ref="O5:P5"/>
    <mergeCell ref="Q5:Q7"/>
    <mergeCell ref="R5:S5"/>
    <mergeCell ref="K6:M6"/>
    <mergeCell ref="O6:O7"/>
    <mergeCell ref="P6:P7"/>
    <mergeCell ref="R6:R7"/>
    <mergeCell ref="S6:S7"/>
  </mergeCells>
  <pageMargins left="0" right="0" top="0.74803149606299213" bottom="0.35433070866141736" header="0.31496062992125984" footer="0.11811023622047245"/>
  <pageSetup paperSize="9" scale="91" fitToHeight="100" orientation="landscape" r:id="rId1"/>
  <headerFooter>
    <oddFooter>&amp;C&amp;8&amp;P</oddFooter>
  </headerFooter>
  <rowBreaks count="1" manualBreakCount="1">
    <brk id="50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workbookViewId="0">
      <selection activeCell="K5" sqref="K5"/>
    </sheetView>
  </sheetViews>
  <sheetFormatPr defaultColWidth="9.109375" defaultRowHeight="13.2" x14ac:dyDescent="0.25"/>
  <cols>
    <col min="1" max="1" width="22.44140625" style="212" customWidth="1"/>
    <col min="2" max="3" width="12.33203125" style="217" bestFit="1" customWidth="1"/>
    <col min="4" max="4" width="6.109375" style="217" bestFit="1" customWidth="1"/>
    <col min="5" max="6" width="12.33203125" style="217" bestFit="1" customWidth="1"/>
    <col min="7" max="7" width="5.109375" style="217" bestFit="1" customWidth="1"/>
    <col min="8" max="8" width="11.88671875" style="217" bestFit="1" customWidth="1"/>
    <col min="9" max="9" width="11.109375" style="217" bestFit="1" customWidth="1"/>
    <col min="10" max="10" width="11.33203125" style="217" customWidth="1"/>
    <col min="11" max="11" width="9.44140625" style="217" bestFit="1" customWidth="1"/>
    <col min="12" max="12" width="9.6640625" style="217" bestFit="1" customWidth="1"/>
    <col min="13" max="13" width="11" style="217" customWidth="1"/>
    <col min="14" max="14" width="11.33203125" style="217" bestFit="1" customWidth="1"/>
    <col min="15" max="15" width="10.88671875" style="217" customWidth="1"/>
    <col min="16" max="16384" width="9.109375" style="217"/>
  </cols>
  <sheetData>
    <row r="1" spans="1:16" s="212" customFormat="1" x14ac:dyDescent="0.25">
      <c r="N1" s="465" t="s">
        <v>1134</v>
      </c>
      <c r="O1" s="465"/>
      <c r="P1" s="192"/>
    </row>
    <row r="2" spans="1:16" s="212" customFormat="1" x14ac:dyDescent="0.25">
      <c r="P2" s="192"/>
    </row>
    <row r="3" spans="1:16" s="212" customFormat="1" ht="33" customHeight="1" x14ac:dyDescent="0.25">
      <c r="A3" s="468" t="s">
        <v>1135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192"/>
    </row>
    <row r="4" spans="1:16" s="212" customFormat="1" ht="13.8" thickBot="1" x14ac:dyDescent="0.3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4" t="s">
        <v>191</v>
      </c>
      <c r="P4" s="192"/>
    </row>
    <row r="5" spans="1:16" s="256" customFormat="1" ht="13.5" customHeight="1" thickTop="1" x14ac:dyDescent="0.25">
      <c r="A5" s="466" t="s">
        <v>192</v>
      </c>
      <c r="B5" s="452" t="s">
        <v>193</v>
      </c>
      <c r="C5" s="452"/>
      <c r="D5" s="452"/>
      <c r="E5" s="452" t="s">
        <v>194</v>
      </c>
      <c r="F5" s="452"/>
      <c r="G5" s="452"/>
      <c r="H5" s="452" t="s">
        <v>195</v>
      </c>
      <c r="I5" s="452"/>
      <c r="J5" s="452" t="s">
        <v>387</v>
      </c>
      <c r="K5" s="316" t="s">
        <v>8</v>
      </c>
      <c r="L5" s="452" t="s">
        <v>388</v>
      </c>
      <c r="M5" s="452"/>
      <c r="N5" s="452" t="s">
        <v>229</v>
      </c>
      <c r="O5" s="453"/>
      <c r="P5" s="244"/>
    </row>
    <row r="6" spans="1:16" s="256" customFormat="1" ht="24" customHeight="1" x14ac:dyDescent="0.25">
      <c r="A6" s="467"/>
      <c r="B6" s="445"/>
      <c r="C6" s="445"/>
      <c r="D6" s="445"/>
      <c r="E6" s="445"/>
      <c r="F6" s="445"/>
      <c r="G6" s="445"/>
      <c r="H6" s="445"/>
      <c r="I6" s="445"/>
      <c r="J6" s="445"/>
      <c r="K6" s="445" t="s">
        <v>153</v>
      </c>
      <c r="L6" s="445"/>
      <c r="M6" s="445"/>
      <c r="N6" s="445"/>
      <c r="O6" s="459"/>
      <c r="P6" s="244"/>
    </row>
    <row r="7" spans="1:16" s="256" customFormat="1" ht="39.6" x14ac:dyDescent="0.25">
      <c r="A7" s="467"/>
      <c r="B7" s="314" t="s">
        <v>196</v>
      </c>
      <c r="C7" s="314" t="s">
        <v>197</v>
      </c>
      <c r="D7" s="314" t="s">
        <v>151</v>
      </c>
      <c r="E7" s="314" t="s">
        <v>196</v>
      </c>
      <c r="F7" s="314" t="s">
        <v>197</v>
      </c>
      <c r="G7" s="314" t="s">
        <v>151</v>
      </c>
      <c r="H7" s="314" t="s">
        <v>196</v>
      </c>
      <c r="I7" s="314" t="s">
        <v>197</v>
      </c>
      <c r="J7" s="445"/>
      <c r="K7" s="445"/>
      <c r="L7" s="314" t="s">
        <v>198</v>
      </c>
      <c r="M7" s="314" t="s">
        <v>199</v>
      </c>
      <c r="N7" s="314" t="s">
        <v>383</v>
      </c>
      <c r="O7" s="315" t="s">
        <v>228</v>
      </c>
      <c r="P7" s="244"/>
    </row>
    <row r="8" spans="1:16" s="257" customFormat="1" ht="10.199999999999999" x14ac:dyDescent="0.2">
      <c r="A8" s="215" t="s">
        <v>13</v>
      </c>
      <c r="B8" s="317" t="s">
        <v>14</v>
      </c>
      <c r="C8" s="317" t="s">
        <v>15</v>
      </c>
      <c r="D8" s="317" t="s">
        <v>200</v>
      </c>
      <c r="E8" s="317" t="s">
        <v>16</v>
      </c>
      <c r="F8" s="317" t="s">
        <v>201</v>
      </c>
      <c r="G8" s="317" t="s">
        <v>202</v>
      </c>
      <c r="H8" s="317" t="s">
        <v>201</v>
      </c>
      <c r="I8" s="317" t="s">
        <v>203</v>
      </c>
      <c r="J8" s="317" t="s">
        <v>17</v>
      </c>
      <c r="K8" s="317" t="s">
        <v>18</v>
      </c>
      <c r="L8" s="317" t="s">
        <v>19</v>
      </c>
      <c r="M8" s="317" t="s">
        <v>204</v>
      </c>
      <c r="N8" s="317" t="s">
        <v>205</v>
      </c>
      <c r="O8" s="259" t="s">
        <v>206</v>
      </c>
      <c r="P8" s="250"/>
    </row>
    <row r="9" spans="1:16" x14ac:dyDescent="0.25">
      <c r="A9" s="216" t="s">
        <v>163</v>
      </c>
      <c r="B9" s="230">
        <f>Черн.!AD7</f>
        <v>1325011.9349200001</v>
      </c>
      <c r="C9" s="230">
        <f>Черн.!AE7</f>
        <v>974830.88511000003</v>
      </c>
      <c r="D9" s="230">
        <f>C9/B9%</f>
        <v>73.571479578322212</v>
      </c>
      <c r="E9" s="230">
        <f>Черн.!AK7</f>
        <v>1368945.04755</v>
      </c>
      <c r="F9" s="230">
        <f>Черн.!AL7</f>
        <v>990803.22959</v>
      </c>
      <c r="G9" s="230">
        <f>F9/E9%</f>
        <v>72.377136785968133</v>
      </c>
      <c r="H9" s="230">
        <f>B9-E9</f>
        <v>-43933.112629999872</v>
      </c>
      <c r="I9" s="230">
        <f>C9-F9</f>
        <v>-15972.344479999971</v>
      </c>
      <c r="J9" s="230">
        <f>Черн.!CN7</f>
        <v>38571.733030000003</v>
      </c>
      <c r="K9" s="230">
        <f>Черн.!CP7</f>
        <v>3904.2054700000003</v>
      </c>
      <c r="L9" s="230">
        <f>Черн.!CQ7</f>
        <v>26557.748170000006</v>
      </c>
      <c r="M9" s="230">
        <f>Черн.!CR7</f>
        <v>3503.2885100000003</v>
      </c>
      <c r="N9" s="230">
        <f>Черн.!CV7</f>
        <v>65000</v>
      </c>
      <c r="O9" s="231">
        <f>Черн.!CW7</f>
        <v>8000</v>
      </c>
    </row>
    <row r="10" spans="1:16" x14ac:dyDescent="0.25">
      <c r="A10" s="216" t="s">
        <v>164</v>
      </c>
      <c r="B10" s="230">
        <f>Черн.!AD8</f>
        <v>615403.74826999998</v>
      </c>
      <c r="C10" s="230">
        <f>Черн.!AE8</f>
        <v>449224.06452000007</v>
      </c>
      <c r="D10" s="230">
        <f t="shared" ref="D10:D35" si="0">C10/B10%</f>
        <v>72.996640950407269</v>
      </c>
      <c r="E10" s="230">
        <f>Черн.!AK8</f>
        <v>632801.70421000011</v>
      </c>
      <c r="F10" s="230">
        <f>Черн.!AL8</f>
        <v>428445.26254000003</v>
      </c>
      <c r="G10" s="230">
        <f t="shared" ref="G10:G35" si="1">F10/E10%</f>
        <v>67.706085443445204</v>
      </c>
      <c r="H10" s="230">
        <f t="shared" ref="H10:H35" si="2">B10-E10</f>
        <v>-17397.955940000131</v>
      </c>
      <c r="I10" s="230">
        <f t="shared" ref="I10:I35" si="3">C10-F10</f>
        <v>20778.801980000047</v>
      </c>
      <c r="J10" s="230">
        <f>Черн.!CN8</f>
        <v>49777.798909999998</v>
      </c>
      <c r="K10" s="230">
        <f>Черн.!CP8</f>
        <v>3231.58403</v>
      </c>
      <c r="L10" s="230">
        <f>Черн.!CQ8</f>
        <v>30368.722389999999</v>
      </c>
      <c r="M10" s="230">
        <f>Черн.!CR8</f>
        <v>2773.5920599999999</v>
      </c>
      <c r="N10" s="230">
        <f>Черн.!CV8</f>
        <v>0</v>
      </c>
      <c r="O10" s="231">
        <f>Черн.!CW8</f>
        <v>0</v>
      </c>
    </row>
    <row r="11" spans="1:16" x14ac:dyDescent="0.25">
      <c r="A11" s="216" t="s">
        <v>165</v>
      </c>
      <c r="B11" s="230">
        <f>Черн.!AD9</f>
        <v>401450.4228</v>
      </c>
      <c r="C11" s="230">
        <f>Черн.!AE9</f>
        <v>303004.49249999999</v>
      </c>
      <c r="D11" s="230">
        <f t="shared" si="0"/>
        <v>75.477437633925447</v>
      </c>
      <c r="E11" s="230">
        <f>Черн.!AK9</f>
        <v>419187.64079999999</v>
      </c>
      <c r="F11" s="230">
        <f>Черн.!AL9</f>
        <v>304952.37053000001</v>
      </c>
      <c r="G11" s="230">
        <f t="shared" si="1"/>
        <v>72.748416424685772</v>
      </c>
      <c r="H11" s="230">
        <f t="shared" si="2"/>
        <v>-17737.217999999993</v>
      </c>
      <c r="I11" s="230">
        <f t="shared" si="3"/>
        <v>-1947.8780300000217</v>
      </c>
      <c r="J11" s="230">
        <f>Черн.!CN9</f>
        <v>33493.054129999997</v>
      </c>
      <c r="K11" s="230">
        <f>Черн.!CP9</f>
        <v>15.1</v>
      </c>
      <c r="L11" s="230">
        <f>Черн.!CQ9</f>
        <v>16926.563099999996</v>
      </c>
      <c r="M11" s="230">
        <f>Черн.!CR9</f>
        <v>-48.933</v>
      </c>
      <c r="N11" s="230">
        <f>Черн.!CV9</f>
        <v>0</v>
      </c>
      <c r="O11" s="231">
        <f>Черн.!CW9</f>
        <v>0</v>
      </c>
    </row>
    <row r="12" spans="1:16" x14ac:dyDescent="0.25">
      <c r="A12" s="216" t="s">
        <v>166</v>
      </c>
      <c r="B12" s="230">
        <f>Черн.!AD10</f>
        <v>517595.85677000001</v>
      </c>
      <c r="C12" s="230">
        <f>Черн.!AE10</f>
        <v>398071.45547000004</v>
      </c>
      <c r="D12" s="241">
        <f t="shared" si="0"/>
        <v>76.907774717155021</v>
      </c>
      <c r="E12" s="230">
        <f>Черн.!AK10</f>
        <v>527768.13045000006</v>
      </c>
      <c r="F12" s="230">
        <f>Черн.!AL10</f>
        <v>399549.71458999999</v>
      </c>
      <c r="G12" s="230">
        <f t="shared" si="1"/>
        <v>75.705540281358978</v>
      </c>
      <c r="H12" s="230">
        <f t="shared" si="2"/>
        <v>-10172.273680000042</v>
      </c>
      <c r="I12" s="230">
        <f t="shared" si="3"/>
        <v>-1478.2591199999442</v>
      </c>
      <c r="J12" s="230">
        <f>Черн.!CN10</f>
        <v>46295.150740000005</v>
      </c>
      <c r="K12" s="230">
        <f>Черн.!CP10</f>
        <v>472.87261999999998</v>
      </c>
      <c r="L12" s="230">
        <f>Черн.!CQ10</f>
        <v>39490.534190000006</v>
      </c>
      <c r="M12" s="230">
        <f>Черн.!CR10</f>
        <v>-185.47060999999997</v>
      </c>
      <c r="N12" s="230">
        <f>Черн.!CV10</f>
        <v>0</v>
      </c>
      <c r="O12" s="231">
        <f>Черн.!CW10</f>
        <v>0</v>
      </c>
    </row>
    <row r="13" spans="1:16" x14ac:dyDescent="0.25">
      <c r="A13" s="216" t="s">
        <v>167</v>
      </c>
      <c r="B13" s="230">
        <f>Черн.!AD11</f>
        <v>507839.17904999998</v>
      </c>
      <c r="C13" s="230">
        <f>Черн.!AE11</f>
        <v>364085.84366999997</v>
      </c>
      <c r="D13" s="230">
        <f t="shared" si="0"/>
        <v>71.693138042457619</v>
      </c>
      <c r="E13" s="230">
        <f>Черн.!AK11</f>
        <v>563414.04089000006</v>
      </c>
      <c r="F13" s="230">
        <f>Черн.!AL11</f>
        <v>421021.09577000001</v>
      </c>
      <c r="G13" s="230">
        <f t="shared" si="1"/>
        <v>74.726766678539235</v>
      </c>
      <c r="H13" s="230">
        <f t="shared" si="2"/>
        <v>-55574.861840000085</v>
      </c>
      <c r="I13" s="230">
        <f t="shared" si="3"/>
        <v>-56935.252100000042</v>
      </c>
      <c r="J13" s="230">
        <f>Черн.!CN11</f>
        <v>18126.989969999999</v>
      </c>
      <c r="K13" s="230">
        <f>Черн.!CP11</f>
        <v>1403.88195</v>
      </c>
      <c r="L13" s="230">
        <f>Черн.!CQ11</f>
        <v>-39565.806089999998</v>
      </c>
      <c r="M13" s="230">
        <f>Черн.!CR11</f>
        <v>-44177.55343</v>
      </c>
      <c r="N13" s="230">
        <f>Черн.!CV11</f>
        <v>0</v>
      </c>
      <c r="O13" s="231">
        <f>Черн.!CW11</f>
        <v>0</v>
      </c>
    </row>
    <row r="14" spans="1:16" x14ac:dyDescent="0.25">
      <c r="A14" s="216" t="s">
        <v>168</v>
      </c>
      <c r="B14" s="230">
        <f>Черн.!AD12</f>
        <v>797266.60171000008</v>
      </c>
      <c r="C14" s="230">
        <f>Черн.!AE12</f>
        <v>604843.21401999996</v>
      </c>
      <c r="D14" s="230">
        <f t="shared" si="0"/>
        <v>75.864612003402002</v>
      </c>
      <c r="E14" s="230">
        <f>Черн.!AK12</f>
        <v>889161.72810000007</v>
      </c>
      <c r="F14" s="230">
        <f>Черн.!AL12</f>
        <v>655404.67995000002</v>
      </c>
      <c r="G14" s="230">
        <f t="shared" si="1"/>
        <v>73.710401520598239</v>
      </c>
      <c r="H14" s="230">
        <f t="shared" si="2"/>
        <v>-91895.12638999999</v>
      </c>
      <c r="I14" s="230">
        <f t="shared" si="3"/>
        <v>-50561.465930000064</v>
      </c>
      <c r="J14" s="230">
        <f>Черн.!CN12</f>
        <v>44355.288009999997</v>
      </c>
      <c r="K14" s="230">
        <f>Черн.!CP12</f>
        <v>6911.2845700000007</v>
      </c>
      <c r="L14" s="230">
        <f>Черн.!CQ12</f>
        <v>-44945.795910000008</v>
      </c>
      <c r="M14" s="230">
        <f>Черн.!CR12</f>
        <v>-67802.315069999997</v>
      </c>
      <c r="N14" s="230">
        <f>Черн.!CV12</f>
        <v>0</v>
      </c>
      <c r="O14" s="231">
        <f>Черн.!CW12</f>
        <v>0</v>
      </c>
    </row>
    <row r="15" spans="1:16" x14ac:dyDescent="0.25">
      <c r="A15" s="216" t="s">
        <v>169</v>
      </c>
      <c r="B15" s="230">
        <f>Черн.!AD13</f>
        <v>557819.23169000004</v>
      </c>
      <c r="C15" s="230">
        <f>Черн.!AE13</f>
        <v>400423.26161000005</v>
      </c>
      <c r="D15" s="230">
        <f t="shared" si="0"/>
        <v>71.783696018664614</v>
      </c>
      <c r="E15" s="230">
        <f>Черн.!AK13</f>
        <v>579364.66115000006</v>
      </c>
      <c r="F15" s="230">
        <f>Черн.!AL13</f>
        <v>406412.24080999999</v>
      </c>
      <c r="G15" s="230">
        <f t="shared" si="1"/>
        <v>70.147916858321821</v>
      </c>
      <c r="H15" s="230">
        <f t="shared" si="2"/>
        <v>-21545.429460000014</v>
      </c>
      <c r="I15" s="230">
        <f t="shared" si="3"/>
        <v>-5988.9791999999434</v>
      </c>
      <c r="J15" s="230">
        <f>Черн.!CN13</f>
        <v>14977.240750000001</v>
      </c>
      <c r="K15" s="230">
        <f>Черн.!CP13</f>
        <v>950.27320999999995</v>
      </c>
      <c r="L15" s="230">
        <f>Черн.!CQ13</f>
        <v>5965.0419600000023</v>
      </c>
      <c r="M15" s="230">
        <f>Черн.!CR13</f>
        <v>441.77051999999992</v>
      </c>
      <c r="N15" s="230">
        <f>Черн.!CV13</f>
        <v>28842.9</v>
      </c>
      <c r="O15" s="231">
        <f>Черн.!CW13</f>
        <v>-6772</v>
      </c>
    </row>
    <row r="16" spans="1:16" x14ac:dyDescent="0.25">
      <c r="A16" s="216" t="s">
        <v>170</v>
      </c>
      <c r="B16" s="230">
        <f>Черн.!AD14</f>
        <v>656090.38155999989</v>
      </c>
      <c r="C16" s="230">
        <f>Черн.!AE14</f>
        <v>499985.63683000003</v>
      </c>
      <c r="D16" s="241">
        <f t="shared" si="0"/>
        <v>76.206823157683502</v>
      </c>
      <c r="E16" s="230">
        <f>Черн.!AK14</f>
        <v>663596.92215</v>
      </c>
      <c r="F16" s="230">
        <f>Черн.!AL14</f>
        <v>500951.02610999998</v>
      </c>
      <c r="G16" s="230">
        <f t="shared" si="1"/>
        <v>75.490257623100405</v>
      </c>
      <c r="H16" s="230">
        <f t="shared" si="2"/>
        <v>-7506.540590000106</v>
      </c>
      <c r="I16" s="230">
        <f t="shared" si="3"/>
        <v>-965.38927999994485</v>
      </c>
      <c r="J16" s="230">
        <f>Черн.!CN14</f>
        <v>19033.26107</v>
      </c>
      <c r="K16" s="230">
        <f>Черн.!CP14</f>
        <v>1721.3762199999999</v>
      </c>
      <c r="L16" s="230">
        <f>Черн.!CQ14</f>
        <v>5722.0570300000018</v>
      </c>
      <c r="M16" s="230">
        <f>Черн.!CR14</f>
        <v>1472.8842199999999</v>
      </c>
      <c r="N16" s="230">
        <f>Черн.!CV14</f>
        <v>0</v>
      </c>
      <c r="O16" s="231">
        <f>Черн.!CW14</f>
        <v>0</v>
      </c>
    </row>
    <row r="17" spans="1:16" x14ac:dyDescent="0.25">
      <c r="A17" s="216" t="s">
        <v>171</v>
      </c>
      <c r="B17" s="230">
        <f>Черн.!AD15</f>
        <v>508214.62015000003</v>
      </c>
      <c r="C17" s="230">
        <f>Черн.!AE15</f>
        <v>379739.65941000002</v>
      </c>
      <c r="D17" s="230">
        <f t="shared" si="0"/>
        <v>74.720333566539168</v>
      </c>
      <c r="E17" s="230">
        <f>Черн.!AK15</f>
        <v>532915.96597999998</v>
      </c>
      <c r="F17" s="230">
        <f>Черн.!AL15</f>
        <v>394491.83411000005</v>
      </c>
      <c r="G17" s="230">
        <f t="shared" si="1"/>
        <v>74.025148296045813</v>
      </c>
      <c r="H17" s="230">
        <f t="shared" si="2"/>
        <v>-24701.345829999947</v>
      </c>
      <c r="I17" s="230">
        <f t="shared" si="3"/>
        <v>-14752.174700000032</v>
      </c>
      <c r="J17" s="230">
        <f>Черн.!CN15</f>
        <v>25092.167870000001</v>
      </c>
      <c r="K17" s="230">
        <f>Черн.!CP15</f>
        <v>187.03533999999999</v>
      </c>
      <c r="L17" s="230">
        <f>Черн.!CQ15</f>
        <v>8956.8951500000003</v>
      </c>
      <c r="M17" s="230">
        <f>Черн.!CR15</f>
        <v>-361.20659000000001</v>
      </c>
      <c r="N17" s="230">
        <f>Черн.!CV15</f>
        <v>18144.099999999999</v>
      </c>
      <c r="O17" s="231">
        <f>Черн.!CW15</f>
        <v>1999.9999999999982</v>
      </c>
    </row>
    <row r="18" spans="1:16" x14ac:dyDescent="0.25">
      <c r="A18" s="216" t="s">
        <v>172</v>
      </c>
      <c r="B18" s="230">
        <f>Черн.!AD16</f>
        <v>360117.48798000003</v>
      </c>
      <c r="C18" s="230">
        <f>Черн.!AE16</f>
        <v>273544.32348999992</v>
      </c>
      <c r="D18" s="230">
        <f t="shared" si="0"/>
        <v>75.959744422406899</v>
      </c>
      <c r="E18" s="230">
        <f>Черн.!AK16</f>
        <v>365624.64541999996</v>
      </c>
      <c r="F18" s="230">
        <f>Черн.!AL16</f>
        <v>278048.68713999999</v>
      </c>
      <c r="G18" s="241">
        <f t="shared" si="1"/>
        <v>76.047577925333826</v>
      </c>
      <c r="H18" s="230">
        <f t="shared" si="2"/>
        <v>-5507.1574399999226</v>
      </c>
      <c r="I18" s="230">
        <f t="shared" si="3"/>
        <v>-4504.3636500000721</v>
      </c>
      <c r="J18" s="230">
        <f>Черн.!CN16</f>
        <v>14084.89098</v>
      </c>
      <c r="K18" s="230">
        <f>Черн.!CP16</f>
        <v>216.99849</v>
      </c>
      <c r="L18" s="230">
        <f>Черн.!CQ16</f>
        <v>12577.733540000001</v>
      </c>
      <c r="M18" s="230">
        <f>Черн.!CR16</f>
        <v>179.28624000000002</v>
      </c>
      <c r="N18" s="230">
        <f>Черн.!CV16</f>
        <v>6600</v>
      </c>
      <c r="O18" s="231">
        <f>Черн.!CW16</f>
        <v>2300</v>
      </c>
    </row>
    <row r="19" spans="1:16" x14ac:dyDescent="0.25">
      <c r="A19" s="216" t="s">
        <v>173</v>
      </c>
      <c r="B19" s="230">
        <f>Черн.!AD17</f>
        <v>496448.66164999997</v>
      </c>
      <c r="C19" s="230">
        <f>Черн.!AE17</f>
        <v>355412.67353999999</v>
      </c>
      <c r="D19" s="230">
        <f t="shared" si="0"/>
        <v>71.591022596122656</v>
      </c>
      <c r="E19" s="230">
        <f>Черн.!AK17</f>
        <v>525951.02541999985</v>
      </c>
      <c r="F19" s="230">
        <f>Черн.!AL17</f>
        <v>370852.11969999998</v>
      </c>
      <c r="G19" s="230">
        <f t="shared" si="1"/>
        <v>70.510770352402076</v>
      </c>
      <c r="H19" s="230">
        <f t="shared" si="2"/>
        <v>-29502.36376999988</v>
      </c>
      <c r="I19" s="230">
        <f t="shared" si="3"/>
        <v>-15439.446159999992</v>
      </c>
      <c r="J19" s="230">
        <f>Черн.!CN17</f>
        <v>18630.753069999999</v>
      </c>
      <c r="K19" s="230">
        <f>Черн.!CP17</f>
        <v>1096.20427</v>
      </c>
      <c r="L19" s="230">
        <f>Черн.!CQ17</f>
        <v>1274.106539999997</v>
      </c>
      <c r="M19" s="230">
        <f>Черн.!CR17</f>
        <v>-544.68506000000002</v>
      </c>
      <c r="N19" s="230">
        <f>Черн.!CV17</f>
        <v>16500</v>
      </c>
      <c r="O19" s="231">
        <f>Черн.!CW17</f>
        <v>9500</v>
      </c>
    </row>
    <row r="20" spans="1:16" x14ac:dyDescent="0.25">
      <c r="A20" s="216" t="s">
        <v>174</v>
      </c>
      <c r="B20" s="230">
        <f>Черн.!AD18</f>
        <v>715901.71611000004</v>
      </c>
      <c r="C20" s="230">
        <f>Черн.!AE18</f>
        <v>505390.55215</v>
      </c>
      <c r="D20" s="230">
        <f t="shared" si="0"/>
        <v>70.59496307623678</v>
      </c>
      <c r="E20" s="230">
        <f>Черн.!AK18</f>
        <v>743876.83363999997</v>
      </c>
      <c r="F20" s="230">
        <f>Черн.!AL18</f>
        <v>514156.74000000011</v>
      </c>
      <c r="G20" s="230">
        <f t="shared" si="1"/>
        <v>69.118531018648028</v>
      </c>
      <c r="H20" s="230">
        <f t="shared" si="2"/>
        <v>-27975.11752999993</v>
      </c>
      <c r="I20" s="230">
        <f t="shared" si="3"/>
        <v>-8766.1878500001039</v>
      </c>
      <c r="J20" s="230">
        <f>Черн.!CN18</f>
        <v>9040.9907800000001</v>
      </c>
      <c r="K20" s="230">
        <f>Черн.!CP18</f>
        <v>5228.1764000000003</v>
      </c>
      <c r="L20" s="230">
        <f>Черн.!CQ18</f>
        <v>1128.6606000000002</v>
      </c>
      <c r="M20" s="230">
        <f>Черн.!CR18</f>
        <v>1853.6383600000004</v>
      </c>
      <c r="N20" s="230">
        <f>Черн.!CV18</f>
        <v>110000</v>
      </c>
      <c r="O20" s="231">
        <f>Черн.!CW18</f>
        <v>6500</v>
      </c>
    </row>
    <row r="21" spans="1:16" x14ac:dyDescent="0.25">
      <c r="A21" s="216" t="s">
        <v>175</v>
      </c>
      <c r="B21" s="230">
        <f>Черн.!AD19</f>
        <v>816715.13496000005</v>
      </c>
      <c r="C21" s="230">
        <f>Черн.!AE19</f>
        <v>566509.32137000002</v>
      </c>
      <c r="D21" s="230">
        <f t="shared" si="0"/>
        <v>69.364371629741584</v>
      </c>
      <c r="E21" s="230">
        <f>Черн.!AK19</f>
        <v>849302.9497</v>
      </c>
      <c r="F21" s="230">
        <f>Черн.!AL19</f>
        <v>572844.01260999998</v>
      </c>
      <c r="G21" s="230">
        <f t="shared" si="1"/>
        <v>67.4487251942721</v>
      </c>
      <c r="H21" s="230">
        <f t="shared" si="2"/>
        <v>-32587.814739999943</v>
      </c>
      <c r="I21" s="230">
        <f t="shared" si="3"/>
        <v>-6334.6912399999565</v>
      </c>
      <c r="J21" s="230">
        <f>Черн.!CN19</f>
        <v>27691.425289999999</v>
      </c>
      <c r="K21" s="230">
        <f>Черн.!CP19</f>
        <v>8868.0164199999999</v>
      </c>
      <c r="L21" s="230">
        <f>Черн.!CQ19</f>
        <v>8428.3590900000017</v>
      </c>
      <c r="M21" s="230">
        <f>Черн.!CR19</f>
        <v>-3795.7061799999992</v>
      </c>
      <c r="N21" s="230">
        <f>Черн.!CV19</f>
        <v>0</v>
      </c>
      <c r="O21" s="231">
        <f>Черн.!CW19</f>
        <v>-8000</v>
      </c>
    </row>
    <row r="22" spans="1:16" x14ac:dyDescent="0.25">
      <c r="A22" s="216" t="s">
        <v>176</v>
      </c>
      <c r="B22" s="230">
        <f>Черн.!AD20</f>
        <v>1021100.1340899999</v>
      </c>
      <c r="C22" s="230">
        <f>Черн.!AE20</f>
        <v>736417.79244999995</v>
      </c>
      <c r="D22" s="230">
        <f t="shared" si="0"/>
        <v>72.120036797986742</v>
      </c>
      <c r="E22" s="230">
        <f>Черн.!AK20</f>
        <v>1044173.7106099998</v>
      </c>
      <c r="F22" s="230">
        <f>Черн.!AL20</f>
        <v>721008.91794000007</v>
      </c>
      <c r="G22" s="230">
        <f t="shared" si="1"/>
        <v>69.05066758660216</v>
      </c>
      <c r="H22" s="230">
        <f t="shared" si="2"/>
        <v>-23073.576519999886</v>
      </c>
      <c r="I22" s="230">
        <f t="shared" si="3"/>
        <v>15408.874509999878</v>
      </c>
      <c r="J22" s="230">
        <f>Черн.!CN20</f>
        <v>84752.847219999996</v>
      </c>
      <c r="K22" s="230">
        <f>Черн.!CP20</f>
        <v>4949.76692</v>
      </c>
      <c r="L22" s="230">
        <f>Черн.!CQ20</f>
        <v>45504.014170000002</v>
      </c>
      <c r="M22" s="230">
        <f>Черн.!CR20</f>
        <v>2663.7384200000001</v>
      </c>
      <c r="N22" s="230">
        <f>Черн.!CV20</f>
        <v>0</v>
      </c>
      <c r="O22" s="231">
        <f>Черн.!CW20</f>
        <v>0</v>
      </c>
    </row>
    <row r="23" spans="1:16" x14ac:dyDescent="0.25">
      <c r="A23" s="216" t="s">
        <v>177</v>
      </c>
      <c r="B23" s="230">
        <f>Черн.!AD21</f>
        <v>1120696.2062000001</v>
      </c>
      <c r="C23" s="230">
        <f>Черн.!AE21</f>
        <v>834693.00223999983</v>
      </c>
      <c r="D23" s="230">
        <f t="shared" si="0"/>
        <v>74.479863286968254</v>
      </c>
      <c r="E23" s="230">
        <f>Черн.!AK21</f>
        <v>1167286.9035499999</v>
      </c>
      <c r="F23" s="230">
        <f>Черн.!AL21</f>
        <v>848118.53333999985</v>
      </c>
      <c r="G23" s="230">
        <f t="shared" si="1"/>
        <v>72.65724739656271</v>
      </c>
      <c r="H23" s="230">
        <f t="shared" si="2"/>
        <v>-46590.697349999798</v>
      </c>
      <c r="I23" s="230">
        <f t="shared" si="3"/>
        <v>-13425.531100000022</v>
      </c>
      <c r="J23" s="230">
        <f>Черн.!CN21</f>
        <v>78740.563620000001</v>
      </c>
      <c r="K23" s="230">
        <f>Черн.!CP21</f>
        <v>4839.8821399999997</v>
      </c>
      <c r="L23" s="230">
        <f>Черн.!CQ21</f>
        <v>37559.566769999998</v>
      </c>
      <c r="M23" s="230">
        <f>Черн.!CR21</f>
        <v>-16299.367809999998</v>
      </c>
      <c r="N23" s="230">
        <f>Черн.!CV21</f>
        <v>71000</v>
      </c>
      <c r="O23" s="231">
        <f>Черн.!CW21</f>
        <v>-26000</v>
      </c>
    </row>
    <row r="24" spans="1:16" x14ac:dyDescent="0.25">
      <c r="A24" s="216" t="s">
        <v>178</v>
      </c>
      <c r="B24" s="230">
        <f>Черн.!AD22</f>
        <v>1098245.0520800001</v>
      </c>
      <c r="C24" s="230">
        <f>Черн.!AE22</f>
        <v>705757.74447999988</v>
      </c>
      <c r="D24" s="241">
        <f t="shared" si="0"/>
        <v>64.262319519978135</v>
      </c>
      <c r="E24" s="230">
        <f>Черн.!AK22</f>
        <v>1155993.5735500001</v>
      </c>
      <c r="F24" s="230">
        <f>Черн.!AL22</f>
        <v>691985.22907000012</v>
      </c>
      <c r="G24" s="241">
        <f t="shared" si="1"/>
        <v>59.860646711464589</v>
      </c>
      <c r="H24" s="230">
        <f t="shared" si="2"/>
        <v>-57748.521470000036</v>
      </c>
      <c r="I24" s="230">
        <f t="shared" si="3"/>
        <v>13772.51540999976</v>
      </c>
      <c r="J24" s="230">
        <f>Черн.!CN22</f>
        <v>113185.00787999999</v>
      </c>
      <c r="K24" s="230">
        <f>Черн.!CP22</f>
        <v>10355.7513</v>
      </c>
      <c r="L24" s="230">
        <f>Черн.!CQ22</f>
        <v>43968.196879999989</v>
      </c>
      <c r="M24" s="230">
        <f>Черн.!CR22</f>
        <v>7087.4672599999994</v>
      </c>
      <c r="N24" s="230">
        <f>Черн.!CV22</f>
        <v>0</v>
      </c>
      <c r="O24" s="231">
        <f>Черн.!CW22</f>
        <v>0</v>
      </c>
    </row>
    <row r="25" spans="1:16" x14ac:dyDescent="0.25">
      <c r="A25" s="216" t="s">
        <v>179</v>
      </c>
      <c r="B25" s="230">
        <f>Черн.!AD23</f>
        <v>1007393.9604699998</v>
      </c>
      <c r="C25" s="230">
        <f>Черн.!AE23</f>
        <v>764984.90696999989</v>
      </c>
      <c r="D25" s="230">
        <f t="shared" si="0"/>
        <v>75.937015406871822</v>
      </c>
      <c r="E25" s="230">
        <f>Черн.!AK23</f>
        <v>1045814.14906</v>
      </c>
      <c r="F25" s="230">
        <f>Черн.!AL23</f>
        <v>797059.74361999996</v>
      </c>
      <c r="G25" s="241">
        <f t="shared" si="1"/>
        <v>76.214281890947291</v>
      </c>
      <c r="H25" s="230">
        <f t="shared" si="2"/>
        <v>-38420.188590000151</v>
      </c>
      <c r="I25" s="230">
        <f t="shared" si="3"/>
        <v>-32074.83665000007</v>
      </c>
      <c r="J25" s="230">
        <f>Черн.!CN23</f>
        <v>59357.583420000003</v>
      </c>
      <c r="K25" s="230">
        <f>Черн.!CP23</f>
        <v>8111.2271600000004</v>
      </c>
      <c r="L25" s="230">
        <f>Черн.!CQ23</f>
        <v>34663.125800000002</v>
      </c>
      <c r="M25" s="230">
        <f>Черн.!CR23</f>
        <v>4564.53881</v>
      </c>
      <c r="N25" s="230">
        <f>Черн.!CV23</f>
        <v>39500</v>
      </c>
      <c r="O25" s="231">
        <f>Черн.!CW23</f>
        <v>11900</v>
      </c>
    </row>
    <row r="26" spans="1:16" x14ac:dyDescent="0.25">
      <c r="A26" s="216" t="s">
        <v>180</v>
      </c>
      <c r="B26" s="230">
        <f>Черн.!AD24</f>
        <v>887650.37757000001</v>
      </c>
      <c r="C26" s="230">
        <f>Черн.!AE24</f>
        <v>655298.41604000004</v>
      </c>
      <c r="D26" s="230">
        <f t="shared" si="0"/>
        <v>73.82393255258016</v>
      </c>
      <c r="E26" s="230">
        <f>Черн.!AK24</f>
        <v>903219.08828000003</v>
      </c>
      <c r="F26" s="230">
        <f>Черн.!AL24</f>
        <v>656696.88668999996</v>
      </c>
      <c r="G26" s="230">
        <f t="shared" si="1"/>
        <v>72.706267528130724</v>
      </c>
      <c r="H26" s="230">
        <f t="shared" si="2"/>
        <v>-15568.710710000014</v>
      </c>
      <c r="I26" s="230">
        <f t="shared" si="3"/>
        <v>-1398.4706499999156</v>
      </c>
      <c r="J26" s="230">
        <f>Черн.!CN24</f>
        <v>75088.897599999997</v>
      </c>
      <c r="K26" s="230">
        <f>Черн.!CP24</f>
        <v>1090.8299199999999</v>
      </c>
      <c r="L26" s="230">
        <f>Черн.!CQ24</f>
        <v>43196.609069999991</v>
      </c>
      <c r="M26" s="230">
        <f>Черн.!CR24</f>
        <v>-2287.7490100000005</v>
      </c>
      <c r="N26" s="230">
        <f>Черн.!CV24</f>
        <v>0</v>
      </c>
      <c r="O26" s="231">
        <f>Черн.!CW24</f>
        <v>0</v>
      </c>
    </row>
    <row r="27" spans="1:16" x14ac:dyDescent="0.25">
      <c r="A27" s="216" t="s">
        <v>181</v>
      </c>
      <c r="B27" s="230">
        <f>Черн.!AD25</f>
        <v>380525.26360000001</v>
      </c>
      <c r="C27" s="230">
        <f>Черн.!AE25</f>
        <v>262858.08980999998</v>
      </c>
      <c r="D27" s="230">
        <f t="shared" si="0"/>
        <v>69.077697318491516</v>
      </c>
      <c r="E27" s="230">
        <f>Черн.!AK25</f>
        <v>386210.28354000003</v>
      </c>
      <c r="F27" s="230">
        <f>Черн.!AL25</f>
        <v>268521.06720999995</v>
      </c>
      <c r="G27" s="230">
        <f t="shared" si="1"/>
        <v>69.527166586228162</v>
      </c>
      <c r="H27" s="230">
        <f t="shared" si="2"/>
        <v>-5685.0199400000274</v>
      </c>
      <c r="I27" s="230">
        <f t="shared" si="3"/>
        <v>-5662.9773999999743</v>
      </c>
      <c r="J27" s="230">
        <f>Черн.!CN25</f>
        <v>46452.151210000004</v>
      </c>
      <c r="K27" s="230">
        <f>Черн.!CP25</f>
        <v>514.03412000000003</v>
      </c>
      <c r="L27" s="230">
        <f>Черн.!CQ25</f>
        <v>17888.934460000004</v>
      </c>
      <c r="M27" s="230">
        <f>Черн.!CR25</f>
        <v>417.23312000000004</v>
      </c>
      <c r="N27" s="230">
        <f>Черн.!CV25</f>
        <v>0</v>
      </c>
      <c r="O27" s="231">
        <f>Черн.!CW25</f>
        <v>0</v>
      </c>
    </row>
    <row r="28" spans="1:16" x14ac:dyDescent="0.25">
      <c r="A28" s="216" t="s">
        <v>182</v>
      </c>
      <c r="B28" s="230">
        <f>Черн.!AD26</f>
        <v>8262268.0507399999</v>
      </c>
      <c r="C28" s="230">
        <f>Черн.!AE26</f>
        <v>5427905.6400500005</v>
      </c>
      <c r="D28" s="241">
        <f t="shared" si="0"/>
        <v>65.695104621591852</v>
      </c>
      <c r="E28" s="230">
        <f>Черн.!AK26</f>
        <v>8493180.3468399998</v>
      </c>
      <c r="F28" s="230">
        <f>Черн.!AL26</f>
        <v>5216115.6905899998</v>
      </c>
      <c r="G28" s="241">
        <f t="shared" si="1"/>
        <v>61.415341221745329</v>
      </c>
      <c r="H28" s="230">
        <f t="shared" si="2"/>
        <v>-230912.29609999992</v>
      </c>
      <c r="I28" s="230">
        <f t="shared" si="3"/>
        <v>211789.94946000073</v>
      </c>
      <c r="J28" s="230">
        <f>Черн.!CN26</f>
        <v>302717.57699000003</v>
      </c>
      <c r="K28" s="230">
        <f>Черн.!CP26</f>
        <v>337.68422999999996</v>
      </c>
      <c r="L28" s="230">
        <f>Черн.!CQ26</f>
        <v>279108.20700000005</v>
      </c>
      <c r="M28" s="230">
        <f>Черн.!CR26</f>
        <v>-3573.3389100000004</v>
      </c>
      <c r="N28" s="230">
        <f>Черн.!CV26</f>
        <v>1363014</v>
      </c>
      <c r="O28" s="231">
        <f>Черн.!CW26</f>
        <v>-215986</v>
      </c>
    </row>
    <row r="29" spans="1:16" x14ac:dyDescent="0.25">
      <c r="A29" s="216" t="s">
        <v>183</v>
      </c>
      <c r="B29" s="230">
        <f>Черн.!AD27</f>
        <v>6360043.4306499995</v>
      </c>
      <c r="C29" s="230">
        <f>Черн.!AE27</f>
        <v>4615154.2251400007</v>
      </c>
      <c r="D29" s="230">
        <f t="shared" si="0"/>
        <v>72.564822480596334</v>
      </c>
      <c r="E29" s="230">
        <f>Черн.!AK27</f>
        <v>6584311.3060799995</v>
      </c>
      <c r="F29" s="230">
        <f>Черн.!AL27</f>
        <v>4621912.7364999996</v>
      </c>
      <c r="G29" s="230">
        <f t="shared" si="1"/>
        <v>70.195841624804302</v>
      </c>
      <c r="H29" s="230">
        <f t="shared" si="2"/>
        <v>-224267.87543000001</v>
      </c>
      <c r="I29" s="230">
        <f t="shared" si="3"/>
        <v>-6758.5113599989563</v>
      </c>
      <c r="J29" s="230">
        <f>Черн.!CN27</f>
        <v>224436.83994999999</v>
      </c>
      <c r="K29" s="230">
        <f>Черн.!CP27</f>
        <v>187.25399999999999</v>
      </c>
      <c r="L29" s="230">
        <f>Черн.!CQ27</f>
        <v>89720.352709999977</v>
      </c>
      <c r="M29" s="230">
        <f>Черн.!CR27</f>
        <v>-26952.201989999998</v>
      </c>
      <c r="N29" s="230">
        <f>Черн.!CV27</f>
        <v>1631466.665</v>
      </c>
      <c r="O29" s="231">
        <f>Черн.!CW27</f>
        <v>-50000</v>
      </c>
    </row>
    <row r="30" spans="1:16" x14ac:dyDescent="0.25">
      <c r="A30" s="216" t="s">
        <v>184</v>
      </c>
      <c r="B30" s="230">
        <f>Черн.!AD28</f>
        <v>1701314.3972999998</v>
      </c>
      <c r="C30" s="230">
        <f>Черн.!AE28</f>
        <v>1274814.0366099998</v>
      </c>
      <c r="D30" s="230">
        <f t="shared" si="0"/>
        <v>74.931126112442257</v>
      </c>
      <c r="E30" s="230">
        <f>Черн.!AK28</f>
        <v>1857372.0973</v>
      </c>
      <c r="F30" s="230">
        <f>Черн.!AL28</f>
        <v>1311346.32549</v>
      </c>
      <c r="G30" s="230">
        <f t="shared" si="1"/>
        <v>70.602241058550433</v>
      </c>
      <c r="H30" s="230">
        <f t="shared" si="2"/>
        <v>-156057.70000000019</v>
      </c>
      <c r="I30" s="230">
        <f t="shared" si="3"/>
        <v>-36532.288880000124</v>
      </c>
      <c r="J30" s="230">
        <f>Черн.!CN28</f>
        <v>26981.552039999999</v>
      </c>
      <c r="K30" s="230">
        <f>Черн.!CP28</f>
        <v>649.6418000000001</v>
      </c>
      <c r="L30" s="230">
        <f>Черн.!CQ28</f>
        <v>17918.574739999996</v>
      </c>
      <c r="M30" s="230">
        <f>Черн.!CR28</f>
        <v>-1723.99965</v>
      </c>
      <c r="N30" s="230">
        <f>Черн.!CV28</f>
        <v>108000</v>
      </c>
      <c r="O30" s="231">
        <f>Черн.!CW28</f>
        <v>-21000</v>
      </c>
    </row>
    <row r="31" spans="1:16" x14ac:dyDescent="0.25">
      <c r="A31" s="216" t="s">
        <v>185</v>
      </c>
      <c r="B31" s="230">
        <f>Черн.!AD29</f>
        <v>856742.951</v>
      </c>
      <c r="C31" s="230">
        <f>Черн.!AE29</f>
        <v>579208.8383099999</v>
      </c>
      <c r="D31" s="230">
        <f t="shared" si="0"/>
        <v>67.605906489681743</v>
      </c>
      <c r="E31" s="230">
        <f>Черн.!AK29</f>
        <v>877751.87100000004</v>
      </c>
      <c r="F31" s="230">
        <f>Черн.!AL29</f>
        <v>614285.69336000003</v>
      </c>
      <c r="G31" s="230">
        <f t="shared" si="1"/>
        <v>69.98397994414529</v>
      </c>
      <c r="H31" s="230">
        <f t="shared" si="2"/>
        <v>-21008.920000000042</v>
      </c>
      <c r="I31" s="230">
        <f t="shared" si="3"/>
        <v>-35076.855050000129</v>
      </c>
      <c r="J31" s="230">
        <f>Черн.!CN29</f>
        <v>16596.44673</v>
      </c>
      <c r="K31" s="230">
        <f>Черн.!CP29</f>
        <v>4.9885999999999999</v>
      </c>
      <c r="L31" s="230">
        <f>Черн.!CQ29</f>
        <v>3590.0522799999999</v>
      </c>
      <c r="M31" s="230">
        <f>Черн.!CR29</f>
        <v>-3.9314</v>
      </c>
      <c r="N31" s="230">
        <f>Черн.!CV29</f>
        <v>94800</v>
      </c>
      <c r="O31" s="231">
        <f>Черн.!CW29</f>
        <v>21000</v>
      </c>
    </row>
    <row r="32" spans="1:16" x14ac:dyDescent="0.25">
      <c r="A32" s="216" t="s">
        <v>186</v>
      </c>
      <c r="B32" s="230">
        <f>Черн.!AD30</f>
        <v>847736.52463</v>
      </c>
      <c r="C32" s="230">
        <f>Черн.!AE30</f>
        <v>609500.24367999996</v>
      </c>
      <c r="D32" s="230">
        <f t="shared" si="0"/>
        <v>71.897367397968395</v>
      </c>
      <c r="E32" s="230">
        <f>Черн.!AK30</f>
        <v>894991.51475999993</v>
      </c>
      <c r="F32" s="230">
        <f>Черн.!AL30</f>
        <v>634873.0246</v>
      </c>
      <c r="G32" s="230">
        <f t="shared" si="1"/>
        <v>70.936206000818558</v>
      </c>
      <c r="H32" s="230">
        <f t="shared" si="2"/>
        <v>-47254.990129999933</v>
      </c>
      <c r="I32" s="230">
        <f t="shared" si="3"/>
        <v>-25372.780920000048</v>
      </c>
      <c r="J32" s="230">
        <f>Черн.!CN30</f>
        <v>20270.700850000001</v>
      </c>
      <c r="K32" s="230">
        <f>Черн.!CP30</f>
        <v>0</v>
      </c>
      <c r="L32" s="230">
        <f>Черн.!CQ30</f>
        <v>8015.7097200000007</v>
      </c>
      <c r="M32" s="230">
        <f>Черн.!CR30</f>
        <v>-4106.2218999999996</v>
      </c>
      <c r="N32" s="230">
        <f>Черн.!CV30</f>
        <v>212499.424</v>
      </c>
      <c r="O32" s="231">
        <f>Черн.!CW30</f>
        <v>251.99900000001071</v>
      </c>
      <c r="P32" s="217">
        <f>O32/1000</f>
        <v>0.25199900000001069</v>
      </c>
    </row>
    <row r="33" spans="1:15" x14ac:dyDescent="0.25">
      <c r="A33" s="216" t="s">
        <v>187</v>
      </c>
      <c r="B33" s="230">
        <f>Черн.!AD31</f>
        <v>1026685.4003999999</v>
      </c>
      <c r="C33" s="230">
        <f>Черн.!AE31</f>
        <v>681731.23789999995</v>
      </c>
      <c r="D33" s="230">
        <f t="shared" si="0"/>
        <v>66.401181670100243</v>
      </c>
      <c r="E33" s="230">
        <f>Черн.!AK31</f>
        <v>1075808.49468</v>
      </c>
      <c r="F33" s="230">
        <f>Черн.!AL31</f>
        <v>707697.61098</v>
      </c>
      <c r="G33" s="230">
        <f t="shared" si="1"/>
        <v>65.782861399556538</v>
      </c>
      <c r="H33" s="230">
        <f t="shared" si="2"/>
        <v>-49123.094280000078</v>
      </c>
      <c r="I33" s="230">
        <f t="shared" si="3"/>
        <v>-25966.373080000049</v>
      </c>
      <c r="J33" s="230">
        <f>Черн.!CN31</f>
        <v>23618.154480000001</v>
      </c>
      <c r="K33" s="230">
        <f>Черн.!CP31</f>
        <v>72.696839999999995</v>
      </c>
      <c r="L33" s="230">
        <f>Черн.!CQ31</f>
        <v>-25966.373080000001</v>
      </c>
      <c r="M33" s="230">
        <f>Черн.!CR31</f>
        <v>72.696839999999995</v>
      </c>
      <c r="N33" s="230">
        <f>Черн.!CV31</f>
        <v>0</v>
      </c>
      <c r="O33" s="231">
        <f>Черн.!CW31</f>
        <v>0</v>
      </c>
    </row>
    <row r="34" spans="1:15" x14ac:dyDescent="0.25">
      <c r="A34" s="216" t="s">
        <v>188</v>
      </c>
      <c r="B34" s="230">
        <f>Черн.!AD32</f>
        <v>111276.37164</v>
      </c>
      <c r="C34" s="230">
        <f>Черн.!AE32</f>
        <v>73832.833549999996</v>
      </c>
      <c r="D34" s="230">
        <f t="shared" si="0"/>
        <v>66.350863585724298</v>
      </c>
      <c r="E34" s="230">
        <f>Черн.!AK32</f>
        <v>115972.56629</v>
      </c>
      <c r="F34" s="230">
        <f>Черн.!AL32</f>
        <v>78916.947499999995</v>
      </c>
      <c r="G34" s="230">
        <f t="shared" si="1"/>
        <v>68.0479444618488</v>
      </c>
      <c r="H34" s="230">
        <f t="shared" si="2"/>
        <v>-4696.1946500000049</v>
      </c>
      <c r="I34" s="230">
        <f t="shared" si="3"/>
        <v>-5084.113949999999</v>
      </c>
      <c r="J34" s="230">
        <f>Черн.!CN32</f>
        <v>13170.061679999999</v>
      </c>
      <c r="K34" s="230">
        <f>Черн.!CP32</f>
        <v>1.54373</v>
      </c>
      <c r="L34" s="230">
        <f>Черн.!CQ32</f>
        <v>-5084.113949999999</v>
      </c>
      <c r="M34" s="230">
        <f>Черн.!CR32</f>
        <v>0</v>
      </c>
      <c r="N34" s="230">
        <f>Черн.!CV32</f>
        <v>0</v>
      </c>
      <c r="O34" s="231">
        <f>Черн.!CW32</f>
        <v>0</v>
      </c>
    </row>
    <row r="35" spans="1:15" s="218" customFormat="1" ht="13.8" thickBot="1" x14ac:dyDescent="0.3">
      <c r="A35" s="235" t="s">
        <v>189</v>
      </c>
      <c r="B35" s="236">
        <f>Черн.!AD33</f>
        <v>32957553.097990002</v>
      </c>
      <c r="C35" s="236">
        <f>Черн.!AE33</f>
        <v>23297222.390919998</v>
      </c>
      <c r="D35" s="236">
        <f t="shared" si="0"/>
        <v>70.688568176321425</v>
      </c>
      <c r="E35" s="236">
        <f>Черн.!AK33</f>
        <v>34263997.200999998</v>
      </c>
      <c r="F35" s="236">
        <f>Черн.!AL33</f>
        <v>23406471.420340002</v>
      </c>
      <c r="G35" s="236">
        <f t="shared" si="1"/>
        <v>68.312144911268206</v>
      </c>
      <c r="H35" s="236">
        <f t="shared" si="2"/>
        <v>-1306444.1030099951</v>
      </c>
      <c r="I35" s="236">
        <f t="shared" si="3"/>
        <v>-109249.02942000329</v>
      </c>
      <c r="J35" s="236">
        <f>Черн.!CN33</f>
        <v>1444539.12827</v>
      </c>
      <c r="K35" s="236">
        <f>Черн.!CP33</f>
        <v>65322.309749999986</v>
      </c>
      <c r="L35" s="236">
        <f>Черн.!CQ33</f>
        <v>662967.67632999993</v>
      </c>
      <c r="M35" s="236">
        <f>Черн.!CR33</f>
        <v>-146832.54625000001</v>
      </c>
      <c r="N35" s="236">
        <f>Черн.!CV33</f>
        <v>3765367.0890000002</v>
      </c>
      <c r="O35" s="237">
        <f>Черн.!CW33</f>
        <v>-266306.00099999999</v>
      </c>
    </row>
    <row r="36" spans="1:15" ht="13.8" thickTop="1" x14ac:dyDescent="0.25">
      <c r="A36" s="239" t="s">
        <v>219</v>
      </c>
      <c r="B36" s="240">
        <v>32958962</v>
      </c>
      <c r="C36" s="238">
        <v>23298820</v>
      </c>
      <c r="D36" s="238"/>
      <c r="E36" s="238">
        <v>34265406</v>
      </c>
      <c r="F36" s="238">
        <v>23408069</v>
      </c>
      <c r="G36" s="238"/>
      <c r="H36" s="238">
        <v>-1306444</v>
      </c>
      <c r="I36" s="238">
        <v>-109249</v>
      </c>
      <c r="J36" s="238">
        <v>1444539</v>
      </c>
      <c r="K36" s="238">
        <v>65322</v>
      </c>
      <c r="L36" s="238"/>
      <c r="M36" s="238"/>
      <c r="N36" s="238"/>
      <c r="O36" s="238"/>
    </row>
    <row r="37" spans="1:15" x14ac:dyDescent="0.25">
      <c r="A37" s="239" t="s">
        <v>61</v>
      </c>
      <c r="B37" s="240">
        <f>B36-B35</f>
        <v>1408.9020099975169</v>
      </c>
      <c r="C37" s="240">
        <f t="shared" ref="C37:K37" si="4">C36-C35</f>
        <v>1597.6090800017118</v>
      </c>
      <c r="D37" s="240"/>
      <c r="E37" s="240">
        <f t="shared" si="4"/>
        <v>1408.7990000024438</v>
      </c>
      <c r="F37" s="240">
        <f t="shared" si="4"/>
        <v>1597.5796599984169</v>
      </c>
      <c r="G37" s="240"/>
      <c r="H37" s="240">
        <f t="shared" si="4"/>
        <v>0.10300999507308006</v>
      </c>
      <c r="I37" s="240">
        <f t="shared" si="4"/>
        <v>2.9420003294944763E-2</v>
      </c>
      <c r="J37" s="240">
        <f t="shared" si="4"/>
        <v>-0.12826999998651445</v>
      </c>
      <c r="K37" s="240">
        <f t="shared" si="4"/>
        <v>-0.30974999998579733</v>
      </c>
      <c r="L37" s="240"/>
      <c r="M37" s="240"/>
      <c r="N37" s="240"/>
      <c r="O37" s="258"/>
    </row>
  </sheetData>
  <autoFilter ref="A8:O37"/>
  <mergeCells count="10">
    <mergeCell ref="N1:O1"/>
    <mergeCell ref="N5:O6"/>
    <mergeCell ref="K6:K7"/>
    <mergeCell ref="A5:A7"/>
    <mergeCell ref="B5:D6"/>
    <mergeCell ref="E5:G6"/>
    <mergeCell ref="H5:I6"/>
    <mergeCell ref="J5:J7"/>
    <mergeCell ref="L5:M6"/>
    <mergeCell ref="A3:O3"/>
  </mergeCells>
  <pageMargins left="0" right="0" top="0.74803149606299213" bottom="0.74803149606299213" header="0.31496062992125984" footer="0.31496062992125984"/>
  <pageSetup paperSize="9" scale="86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zoomScale="115" zoomScaleNormal="115" workbookViewId="0">
      <pane xSplit="1" ySplit="8" topLeftCell="H9" activePane="bottomRight" state="frozen"/>
      <selection activeCell="B20" sqref="B20"/>
      <selection pane="topRight" activeCell="B20" sqref="B20"/>
      <selection pane="bottomLeft" activeCell="B20" sqref="B20"/>
      <selection pane="bottomRight" activeCell="N7" sqref="N7"/>
    </sheetView>
  </sheetViews>
  <sheetFormatPr defaultColWidth="9.44140625" defaultRowHeight="13.2" x14ac:dyDescent="0.25"/>
  <cols>
    <col min="1" max="1" width="22" style="192" customWidth="1"/>
    <col min="2" max="2" width="12.33203125" style="217" bestFit="1" customWidth="1"/>
    <col min="3" max="3" width="11.33203125" style="217" bestFit="1" customWidth="1"/>
    <col min="4" max="4" width="5.109375" style="217" bestFit="1" customWidth="1"/>
    <col min="5" max="6" width="11.33203125" style="217" bestFit="1" customWidth="1"/>
    <col min="7" max="7" width="5.109375" style="217" bestFit="1" customWidth="1"/>
    <col min="8" max="8" width="11.33203125" style="220" bestFit="1" customWidth="1"/>
    <col min="9" max="9" width="10.109375" style="220" bestFit="1" customWidth="1"/>
    <col min="10" max="10" width="6.44140625" style="220" bestFit="1" customWidth="1"/>
    <col min="11" max="12" width="10" style="220" bestFit="1" customWidth="1"/>
    <col min="13" max="13" width="6.33203125" style="220" customWidth="1"/>
    <col min="14" max="14" width="11.33203125" style="220" bestFit="1" customWidth="1"/>
    <col min="15" max="15" width="10.109375" style="220" bestFit="1" customWidth="1"/>
    <col min="16" max="16" width="6.33203125" style="220" bestFit="1" customWidth="1"/>
    <col min="17" max="17" width="9.88671875" style="220" bestFit="1" customWidth="1"/>
    <col min="18" max="18" width="10" style="220" bestFit="1" customWidth="1"/>
    <col min="19" max="19" width="6.33203125" style="220" bestFit="1" customWidth="1"/>
    <col min="20" max="16384" width="9.44140625" style="220"/>
  </cols>
  <sheetData>
    <row r="1" spans="1:19" ht="15" customHeight="1" x14ac:dyDescent="0.25">
      <c r="N1" s="219"/>
      <c r="O1" s="219"/>
      <c r="P1" s="219"/>
      <c r="Q1" s="469" t="s">
        <v>1136</v>
      </c>
      <c r="R1" s="469"/>
      <c r="S1" s="469"/>
    </row>
    <row r="3" spans="1:19" s="213" customFormat="1" ht="36.75" customHeight="1" x14ac:dyDescent="0.25">
      <c r="A3" s="470" t="s">
        <v>1137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</row>
    <row r="4" spans="1:19" s="213" customFormat="1" ht="13.8" thickBot="1" x14ac:dyDescent="0.3">
      <c r="A4" s="192"/>
      <c r="B4" s="192"/>
      <c r="C4" s="192"/>
      <c r="D4" s="192"/>
      <c r="E4" s="192"/>
      <c r="F4" s="192"/>
      <c r="G4" s="192"/>
      <c r="S4" s="221" t="s">
        <v>191</v>
      </c>
    </row>
    <row r="5" spans="1:19" s="222" customFormat="1" ht="12.75" customHeight="1" thickTop="1" x14ac:dyDescent="0.25">
      <c r="A5" s="450" t="s">
        <v>192</v>
      </c>
      <c r="B5" s="452" t="s">
        <v>141</v>
      </c>
      <c r="C5" s="452"/>
      <c r="D5" s="452"/>
      <c r="E5" s="452" t="s">
        <v>207</v>
      </c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3"/>
    </row>
    <row r="6" spans="1:19" s="222" customFormat="1" ht="39.75" customHeight="1" x14ac:dyDescent="0.25">
      <c r="A6" s="451"/>
      <c r="B6" s="445"/>
      <c r="C6" s="445"/>
      <c r="D6" s="445"/>
      <c r="E6" s="445" t="s">
        <v>208</v>
      </c>
      <c r="F6" s="445"/>
      <c r="G6" s="445"/>
      <c r="H6" s="471" t="s">
        <v>209</v>
      </c>
      <c r="I6" s="471"/>
      <c r="J6" s="471"/>
      <c r="K6" s="471" t="s">
        <v>210</v>
      </c>
      <c r="L6" s="471"/>
      <c r="M6" s="471"/>
      <c r="N6" s="471" t="s">
        <v>1155</v>
      </c>
      <c r="O6" s="471"/>
      <c r="P6" s="471"/>
      <c r="Q6" s="471" t="s">
        <v>218</v>
      </c>
      <c r="R6" s="471"/>
      <c r="S6" s="472"/>
    </row>
    <row r="7" spans="1:19" s="225" customFormat="1" ht="24" x14ac:dyDescent="0.25">
      <c r="A7" s="451"/>
      <c r="B7" s="14" t="s">
        <v>196</v>
      </c>
      <c r="C7" s="14" t="s">
        <v>197</v>
      </c>
      <c r="D7" s="14" t="s">
        <v>151</v>
      </c>
      <c r="E7" s="14" t="s">
        <v>196</v>
      </c>
      <c r="F7" s="14" t="s">
        <v>197</v>
      </c>
      <c r="G7" s="14" t="s">
        <v>151</v>
      </c>
      <c r="H7" s="223" t="s">
        <v>196</v>
      </c>
      <c r="I7" s="223" t="s">
        <v>197</v>
      </c>
      <c r="J7" s="223" t="s">
        <v>151</v>
      </c>
      <c r="K7" s="223" t="s">
        <v>196</v>
      </c>
      <c r="L7" s="223" t="s">
        <v>197</v>
      </c>
      <c r="M7" s="223" t="s">
        <v>151</v>
      </c>
      <c r="N7" s="223" t="s">
        <v>196</v>
      </c>
      <c r="O7" s="223" t="s">
        <v>197</v>
      </c>
      <c r="P7" s="223" t="s">
        <v>151</v>
      </c>
      <c r="Q7" s="223" t="s">
        <v>196</v>
      </c>
      <c r="R7" s="223" t="s">
        <v>197</v>
      </c>
      <c r="S7" s="224" t="s">
        <v>151</v>
      </c>
    </row>
    <row r="8" spans="1:19" s="229" customFormat="1" ht="10.199999999999999" x14ac:dyDescent="0.25">
      <c r="A8" s="226" t="s">
        <v>13</v>
      </c>
      <c r="B8" s="169" t="s">
        <v>14</v>
      </c>
      <c r="C8" s="169" t="s">
        <v>15</v>
      </c>
      <c r="D8" s="169" t="s">
        <v>16</v>
      </c>
      <c r="E8" s="169" t="s">
        <v>201</v>
      </c>
      <c r="F8" s="169" t="s">
        <v>211</v>
      </c>
      <c r="G8" s="188" t="s">
        <v>203</v>
      </c>
      <c r="H8" s="227" t="s">
        <v>17</v>
      </c>
      <c r="I8" s="227" t="s">
        <v>18</v>
      </c>
      <c r="J8" s="227" t="s">
        <v>19</v>
      </c>
      <c r="K8" s="227" t="s">
        <v>204</v>
      </c>
      <c r="L8" s="227" t="s">
        <v>205</v>
      </c>
      <c r="M8" s="227" t="s">
        <v>206</v>
      </c>
      <c r="N8" s="227" t="s">
        <v>212</v>
      </c>
      <c r="O8" s="227" t="s">
        <v>213</v>
      </c>
      <c r="P8" s="227" t="s">
        <v>214</v>
      </c>
      <c r="Q8" s="227" t="s">
        <v>215</v>
      </c>
      <c r="R8" s="227" t="s">
        <v>216</v>
      </c>
      <c r="S8" s="228" t="s">
        <v>217</v>
      </c>
    </row>
    <row r="9" spans="1:19" x14ac:dyDescent="0.25">
      <c r="A9" s="130" t="s">
        <v>163</v>
      </c>
      <c r="B9" s="230">
        <f>Черн.!BG7</f>
        <v>459536.44829999999</v>
      </c>
      <c r="C9" s="230">
        <f>Черн.!BL7</f>
        <v>334398.98866999993</v>
      </c>
      <c r="D9" s="230">
        <f>C9/B9%</f>
        <v>72.768762936447999</v>
      </c>
      <c r="E9" s="230">
        <f>Черн.!DL7</f>
        <v>249362.8</v>
      </c>
      <c r="F9" s="230">
        <f>Черн.!DN7</f>
        <v>182899.67971</v>
      </c>
      <c r="G9" s="230">
        <f>F9/E9%</f>
        <v>73.346818254366738</v>
      </c>
      <c r="H9" s="230">
        <f>Черн.!BN7</f>
        <v>48334.664400000001</v>
      </c>
      <c r="I9" s="230">
        <f>Черн.!BP7</f>
        <v>32202.83913</v>
      </c>
      <c r="J9" s="241">
        <f>I9/H9%</f>
        <v>66.624728918155057</v>
      </c>
      <c r="K9" s="230">
        <f>Черн.!BX7</f>
        <v>40765.4</v>
      </c>
      <c r="L9" s="230">
        <f>Черн.!CB7</f>
        <v>18223.32058</v>
      </c>
      <c r="M9" s="230">
        <f>L9/K9%</f>
        <v>44.702911243358336</v>
      </c>
      <c r="N9" s="230">
        <f>Черн.!CG7</f>
        <v>40375.480000000003</v>
      </c>
      <c r="O9" s="230">
        <f>Черн.!CI7</f>
        <v>28909.03414</v>
      </c>
      <c r="P9" s="230">
        <f>O9/N9%</f>
        <v>71.600471721946079</v>
      </c>
      <c r="Q9" s="230">
        <f>Черн.!BS7</f>
        <v>26889.133289999998</v>
      </c>
      <c r="R9" s="230">
        <f>Черн.!BU7</f>
        <v>26568.569820000001</v>
      </c>
      <c r="S9" s="231">
        <f>R9/Q9%</f>
        <v>98.807832641748959</v>
      </c>
    </row>
    <row r="10" spans="1:19" x14ac:dyDescent="0.25">
      <c r="A10" s="130" t="s">
        <v>164</v>
      </c>
      <c r="B10" s="230">
        <f>Черн.!BG8</f>
        <v>97219.678450000007</v>
      </c>
      <c r="C10" s="230">
        <f>Черн.!BL8</f>
        <v>62165.10598</v>
      </c>
      <c r="D10" s="230">
        <f t="shared" ref="D10:D37" si="0">C10/B10%</f>
        <v>63.942924900714893</v>
      </c>
      <c r="E10" s="230">
        <f>Черн.!DL8</f>
        <v>42437.7</v>
      </c>
      <c r="F10" s="230">
        <f>Черн.!DN8</f>
        <v>26601.99682</v>
      </c>
      <c r="G10" s="241">
        <f t="shared" ref="G10:G37" si="1">F10/E10%</f>
        <v>62.684822268878861</v>
      </c>
      <c r="H10" s="230">
        <f>Черн.!BN8</f>
        <v>4601.6000000000004</v>
      </c>
      <c r="I10" s="230">
        <f>Черн.!BP8</f>
        <v>4038.0676200000003</v>
      </c>
      <c r="J10" s="230">
        <f t="shared" ref="J10:J37" si="2">I10/H10%</f>
        <v>87.753555719749642</v>
      </c>
      <c r="K10" s="230">
        <f>Черн.!BX8</f>
        <v>10105.1</v>
      </c>
      <c r="L10" s="230">
        <f>Черн.!CB8</f>
        <v>3920.1005800000003</v>
      </c>
      <c r="M10" s="230">
        <f t="shared" ref="M10:M37" si="3">L10/K10%</f>
        <v>38.793288339551317</v>
      </c>
      <c r="N10" s="230">
        <f>Черн.!CG8</f>
        <v>16470.228449999999</v>
      </c>
      <c r="O10" s="230">
        <f>Черн.!CI8</f>
        <v>10303.177380000001</v>
      </c>
      <c r="P10" s="230">
        <f t="shared" ref="P10:P37" si="4">O10/N10%</f>
        <v>62.556372009521226</v>
      </c>
      <c r="Q10" s="230">
        <f>Черн.!BS8</f>
        <v>920</v>
      </c>
      <c r="R10" s="230">
        <f>Черн.!BU8</f>
        <v>247.38757000000001</v>
      </c>
      <c r="S10" s="231">
        <f t="shared" ref="S10:S37" si="5">R10/Q10%</f>
        <v>26.889953260869568</v>
      </c>
    </row>
    <row r="11" spans="1:19" x14ac:dyDescent="0.25">
      <c r="A11" s="130" t="s">
        <v>165</v>
      </c>
      <c r="B11" s="230">
        <f>Черн.!BG9</f>
        <v>75526.899999999994</v>
      </c>
      <c r="C11" s="230">
        <f>Черн.!BL9</f>
        <v>56829.743539999996</v>
      </c>
      <c r="D11" s="230">
        <f t="shared" si="0"/>
        <v>75.244374573827344</v>
      </c>
      <c r="E11" s="230">
        <f>Черн.!DL9</f>
        <v>42137</v>
      </c>
      <c r="F11" s="230">
        <f>Черн.!DN9</f>
        <v>30868.061450000001</v>
      </c>
      <c r="G11" s="230">
        <f t="shared" si="1"/>
        <v>73.256428910458737</v>
      </c>
      <c r="H11" s="230">
        <f>Черн.!BN9</f>
        <v>7927.8</v>
      </c>
      <c r="I11" s="230">
        <f>Черн.!BP9</f>
        <v>6841.5999900000006</v>
      </c>
      <c r="J11" s="230">
        <f t="shared" si="2"/>
        <v>86.298846968894267</v>
      </c>
      <c r="K11" s="230">
        <f>Черн.!BX9</f>
        <v>4823.7</v>
      </c>
      <c r="L11" s="230">
        <f>Черн.!CB9</f>
        <v>2278.23479</v>
      </c>
      <c r="M11" s="230">
        <f t="shared" si="3"/>
        <v>47.230026535646914</v>
      </c>
      <c r="N11" s="230">
        <f>Черн.!CG9</f>
        <v>9049.4</v>
      </c>
      <c r="O11" s="230">
        <f>Черн.!CI9</f>
        <v>6865.7719100000004</v>
      </c>
      <c r="P11" s="230">
        <f t="shared" si="4"/>
        <v>75.869913032908258</v>
      </c>
      <c r="Q11" s="230">
        <f>Черн.!BS9</f>
        <v>700</v>
      </c>
      <c r="R11" s="230">
        <f>Черн.!BU9</f>
        <v>382.68581</v>
      </c>
      <c r="S11" s="231">
        <f t="shared" si="5"/>
        <v>54.669401428571426</v>
      </c>
    </row>
    <row r="12" spans="1:19" x14ac:dyDescent="0.25">
      <c r="A12" s="130" t="s">
        <v>166</v>
      </c>
      <c r="B12" s="230">
        <f>Черн.!BG10</f>
        <v>104782.7</v>
      </c>
      <c r="C12" s="230">
        <f>Черн.!BL10</f>
        <v>70964.596479999993</v>
      </c>
      <c r="D12" s="230">
        <f t="shared" si="0"/>
        <v>67.725489493971807</v>
      </c>
      <c r="E12" s="230">
        <f>Черн.!DL10</f>
        <v>48395</v>
      </c>
      <c r="F12" s="230">
        <f>Черн.!DN10</f>
        <v>38815.213020000003</v>
      </c>
      <c r="G12" s="230">
        <f t="shared" si="1"/>
        <v>80.205006756896381</v>
      </c>
      <c r="H12" s="230">
        <f>Черн.!BN10</f>
        <v>11611.1</v>
      </c>
      <c r="I12" s="230">
        <f>Черн.!BP10</f>
        <v>7809.2165100000002</v>
      </c>
      <c r="J12" s="230">
        <f t="shared" si="2"/>
        <v>67.25647449423397</v>
      </c>
      <c r="K12" s="230">
        <f>Черн.!BX10</f>
        <v>8440</v>
      </c>
      <c r="L12" s="230">
        <f>Черн.!CB10</f>
        <v>2847.47577</v>
      </c>
      <c r="M12" s="230">
        <f t="shared" si="3"/>
        <v>33.73786457345971</v>
      </c>
      <c r="N12" s="230">
        <f>Черн.!CG10</f>
        <v>13920.3</v>
      </c>
      <c r="O12" s="230">
        <f>Черн.!CI10</f>
        <v>12213.46082</v>
      </c>
      <c r="P12" s="230">
        <f t="shared" si="4"/>
        <v>87.738488538321732</v>
      </c>
      <c r="Q12" s="230">
        <f>Черн.!BS10</f>
        <v>10032.6</v>
      </c>
      <c r="R12" s="230">
        <f>Черн.!BU10</f>
        <v>264.70653000000004</v>
      </c>
      <c r="S12" s="243">
        <f t="shared" si="5"/>
        <v>2.6384639076610252</v>
      </c>
    </row>
    <row r="13" spans="1:19" x14ac:dyDescent="0.25">
      <c r="A13" s="130" t="s">
        <v>167</v>
      </c>
      <c r="B13" s="230">
        <f>Черн.!BG11</f>
        <v>133616.47349</v>
      </c>
      <c r="C13" s="230">
        <f>Черн.!BL11</f>
        <v>101607.43376</v>
      </c>
      <c r="D13" s="230">
        <f t="shared" si="0"/>
        <v>76.044091799507342</v>
      </c>
      <c r="E13" s="230">
        <f>Черн.!DL11</f>
        <v>52220</v>
      </c>
      <c r="F13" s="230">
        <f>Черн.!DN11</f>
        <v>39099.606930000002</v>
      </c>
      <c r="G13" s="230">
        <f t="shared" si="1"/>
        <v>74.874773898889316</v>
      </c>
      <c r="H13" s="230">
        <f>Черн.!BN11</f>
        <v>18901.419999999998</v>
      </c>
      <c r="I13" s="230">
        <f>Черн.!BP11</f>
        <v>13522.144460000001</v>
      </c>
      <c r="J13" s="230">
        <f t="shared" si="2"/>
        <v>71.540362893369931</v>
      </c>
      <c r="K13" s="230">
        <f>Черн.!BX11</f>
        <v>9719</v>
      </c>
      <c r="L13" s="230">
        <f>Черн.!CB11</f>
        <v>3080.23263</v>
      </c>
      <c r="M13" s="230">
        <f t="shared" si="3"/>
        <v>31.69289669719107</v>
      </c>
      <c r="N13" s="230">
        <f>Черн.!CG11</f>
        <v>12369.35349</v>
      </c>
      <c r="O13" s="230">
        <f>Черн.!CI11</f>
        <v>10417.81151</v>
      </c>
      <c r="P13" s="230">
        <f t="shared" si="4"/>
        <v>84.222764903778341</v>
      </c>
      <c r="Q13" s="230">
        <f>Черн.!BS11</f>
        <v>16094.1</v>
      </c>
      <c r="R13" s="230">
        <f>Черн.!BU11</f>
        <v>17481.634280000002</v>
      </c>
      <c r="S13" s="243">
        <f t="shared" si="5"/>
        <v>108.62138473105053</v>
      </c>
    </row>
    <row r="14" spans="1:19" x14ac:dyDescent="0.25">
      <c r="A14" s="130" t="s">
        <v>168</v>
      </c>
      <c r="B14" s="230">
        <f>Черн.!BG12</f>
        <v>154533.9</v>
      </c>
      <c r="C14" s="230">
        <f>Черн.!BL12</f>
        <v>119999.29789</v>
      </c>
      <c r="D14" s="241">
        <f t="shared" si="0"/>
        <v>77.652410176666748</v>
      </c>
      <c r="E14" s="230">
        <f>Черн.!DL12</f>
        <v>91067.9</v>
      </c>
      <c r="F14" s="230">
        <f>Черн.!DN12</f>
        <v>68467.917629999996</v>
      </c>
      <c r="G14" s="230">
        <f t="shared" si="1"/>
        <v>75.183371561219701</v>
      </c>
      <c r="H14" s="230">
        <f>Черн.!BN12</f>
        <v>17499</v>
      </c>
      <c r="I14" s="230">
        <f>Черн.!BP12</f>
        <v>13739.747289999999</v>
      </c>
      <c r="J14" s="230">
        <f t="shared" si="2"/>
        <v>78.517328361620656</v>
      </c>
      <c r="K14" s="230">
        <f>Черн.!BX12</f>
        <v>9740</v>
      </c>
      <c r="L14" s="230">
        <f>Черн.!CB12</f>
        <v>5644.9425199999996</v>
      </c>
      <c r="M14" s="230">
        <f t="shared" si="3"/>
        <v>57.956288706365498</v>
      </c>
      <c r="N14" s="230">
        <f>Черн.!CG12</f>
        <v>9755</v>
      </c>
      <c r="O14" s="230">
        <f>Черн.!CI12</f>
        <v>9113.8459000000003</v>
      </c>
      <c r="P14" s="241">
        <f t="shared" si="4"/>
        <v>93.427431060994365</v>
      </c>
      <c r="Q14" s="230">
        <f>Черн.!BS12</f>
        <v>8987</v>
      </c>
      <c r="R14" s="230">
        <f>Черн.!BU12</f>
        <v>9182.1984200000006</v>
      </c>
      <c r="S14" s="243">
        <f t="shared" si="5"/>
        <v>102.1720086792033</v>
      </c>
    </row>
    <row r="15" spans="1:19" x14ac:dyDescent="0.25">
      <c r="A15" s="130" t="s">
        <v>169</v>
      </c>
      <c r="B15" s="230">
        <f>Черн.!BG13</f>
        <v>183061.98649000001</v>
      </c>
      <c r="C15" s="230">
        <f>Черн.!BL13</f>
        <v>129404.66878000001</v>
      </c>
      <c r="D15" s="230">
        <f t="shared" si="0"/>
        <v>70.688989702987243</v>
      </c>
      <c r="E15" s="230">
        <f>Черн.!DL13</f>
        <v>100672.34773000001</v>
      </c>
      <c r="F15" s="230">
        <f>Черн.!DN13</f>
        <v>83376.62788</v>
      </c>
      <c r="G15" s="241">
        <f t="shared" si="1"/>
        <v>82.819790895920519</v>
      </c>
      <c r="H15" s="230">
        <f>Черн.!BN13</f>
        <v>7704.8069999999998</v>
      </c>
      <c r="I15" s="230">
        <f>Черн.!BP13</f>
        <v>5529.2148899999993</v>
      </c>
      <c r="J15" s="230">
        <f t="shared" si="2"/>
        <v>71.763184853300018</v>
      </c>
      <c r="K15" s="230">
        <f>Черн.!BX13</f>
        <v>24260.572</v>
      </c>
      <c r="L15" s="230">
        <f>Черн.!CB13</f>
        <v>4073.08331</v>
      </c>
      <c r="M15" s="241">
        <f t="shared" si="3"/>
        <v>16.788900566730248</v>
      </c>
      <c r="N15" s="230">
        <f>Черн.!CG13</f>
        <v>25642.183379999999</v>
      </c>
      <c r="O15" s="230">
        <f>Черн.!CI13</f>
        <v>18237.182219999999</v>
      </c>
      <c r="P15" s="230">
        <f t="shared" si="4"/>
        <v>71.121799379316343</v>
      </c>
      <c r="Q15" s="230">
        <f>Черн.!BS13</f>
        <v>3627.6334999999999</v>
      </c>
      <c r="R15" s="230">
        <f>Черн.!BU13</f>
        <v>2061.6941400000001</v>
      </c>
      <c r="S15" s="231">
        <f t="shared" si="5"/>
        <v>56.833032884937253</v>
      </c>
    </row>
    <row r="16" spans="1:19" x14ac:dyDescent="0.25">
      <c r="A16" s="130" t="s">
        <v>170</v>
      </c>
      <c r="B16" s="230">
        <f>Черн.!BG14</f>
        <v>94281.964960000012</v>
      </c>
      <c r="C16" s="230">
        <f>Черн.!BL14</f>
        <v>58016.626179999999</v>
      </c>
      <c r="D16" s="241">
        <f t="shared" si="0"/>
        <v>61.535232326367066</v>
      </c>
      <c r="E16" s="230">
        <f>Черн.!DL14</f>
        <v>43200.905319999998</v>
      </c>
      <c r="F16" s="230">
        <f>Черн.!DN14</f>
        <v>30237.63625</v>
      </c>
      <c r="G16" s="230">
        <f t="shared" si="1"/>
        <v>69.99306154818332</v>
      </c>
      <c r="H16" s="230">
        <f>Черн.!BN14</f>
        <v>11239</v>
      </c>
      <c r="I16" s="230">
        <f>Черн.!BP14</f>
        <v>7907.8582699999997</v>
      </c>
      <c r="J16" s="230">
        <f t="shared" si="2"/>
        <v>70.360870807011295</v>
      </c>
      <c r="K16" s="230">
        <f>Черн.!BX14</f>
        <v>11168.06688</v>
      </c>
      <c r="L16" s="230">
        <f>Черн.!CB14</f>
        <v>2073.7989199999997</v>
      </c>
      <c r="M16" s="241">
        <f t="shared" si="3"/>
        <v>18.569005202805517</v>
      </c>
      <c r="N16" s="230">
        <f>Черн.!CG14</f>
        <v>8622.7927600000003</v>
      </c>
      <c r="O16" s="230">
        <f>Черн.!CI14</f>
        <v>4847.3405300000004</v>
      </c>
      <c r="P16" s="230">
        <f t="shared" si="4"/>
        <v>56.215435821282576</v>
      </c>
      <c r="Q16" s="230">
        <f>Черн.!BS14</f>
        <v>3012</v>
      </c>
      <c r="R16" s="230">
        <f>Черн.!BU14</f>
        <v>574.66319999999996</v>
      </c>
      <c r="S16" s="243">
        <f t="shared" si="5"/>
        <v>19.079123505976092</v>
      </c>
    </row>
    <row r="17" spans="1:20" x14ac:dyDescent="0.25">
      <c r="A17" s="130" t="s">
        <v>171</v>
      </c>
      <c r="B17" s="230">
        <f>Черн.!BG15</f>
        <v>122054.35962999999</v>
      </c>
      <c r="C17" s="230">
        <f>Черн.!BL15</f>
        <v>88054.079419999995</v>
      </c>
      <c r="D17" s="230">
        <f t="shared" si="0"/>
        <v>72.143329977667591</v>
      </c>
      <c r="E17" s="230">
        <f>Черн.!DL15</f>
        <v>81879.906690000003</v>
      </c>
      <c r="F17" s="230">
        <f>Черн.!DN15</f>
        <v>61531.241289999998</v>
      </c>
      <c r="G17" s="230">
        <f t="shared" si="1"/>
        <v>75.148157560754541</v>
      </c>
      <c r="H17" s="230">
        <f>Черн.!BN15</f>
        <v>8731</v>
      </c>
      <c r="I17" s="230">
        <f>Черн.!BP15</f>
        <v>7328.1852199999994</v>
      </c>
      <c r="J17" s="230">
        <f t="shared" si="2"/>
        <v>83.932942618256774</v>
      </c>
      <c r="K17" s="230">
        <f>Черн.!BX15</f>
        <v>9289</v>
      </c>
      <c r="L17" s="230">
        <f>Черн.!CB15</f>
        <v>2532.0003299999998</v>
      </c>
      <c r="M17" s="230">
        <f t="shared" si="3"/>
        <v>27.258050705135105</v>
      </c>
      <c r="N17" s="230">
        <f>Черн.!CG15</f>
        <v>9614.4</v>
      </c>
      <c r="O17" s="230">
        <f>Черн.!CI15</f>
        <v>7678.4368700000005</v>
      </c>
      <c r="P17" s="230">
        <f t="shared" si="4"/>
        <v>79.863921513563</v>
      </c>
      <c r="Q17" s="230">
        <f>Черн.!BS15</f>
        <v>309.39999999999998</v>
      </c>
      <c r="R17" s="230">
        <f>Черн.!BU15</f>
        <v>902.64956000000006</v>
      </c>
      <c r="S17" s="243">
        <f t="shared" si="5"/>
        <v>291.7419392372334</v>
      </c>
      <c r="T17" s="220">
        <f>R17-Q17</f>
        <v>593.24956000000009</v>
      </c>
    </row>
    <row r="18" spans="1:20" x14ac:dyDescent="0.25">
      <c r="A18" s="130" t="s">
        <v>172</v>
      </c>
      <c r="B18" s="230">
        <f>Черн.!BG16</f>
        <v>51886.9</v>
      </c>
      <c r="C18" s="230">
        <f>Черн.!BL16</f>
        <v>37034.124019999996</v>
      </c>
      <c r="D18" s="230">
        <f t="shared" si="0"/>
        <v>71.374709261875338</v>
      </c>
      <c r="E18" s="230">
        <f>Черн.!DL16</f>
        <v>31485.599999999999</v>
      </c>
      <c r="F18" s="230">
        <f>Черн.!DN16</f>
        <v>21070.772149999997</v>
      </c>
      <c r="G18" s="230">
        <f t="shared" si="1"/>
        <v>66.921933042406678</v>
      </c>
      <c r="H18" s="230">
        <f>Черн.!BN16</f>
        <v>3581.5</v>
      </c>
      <c r="I18" s="230">
        <f>Черн.!BP16</f>
        <v>2297.1926000000003</v>
      </c>
      <c r="J18" s="241">
        <f t="shared" si="2"/>
        <v>64.140516543347772</v>
      </c>
      <c r="K18" s="230">
        <f>Черн.!BX16</f>
        <v>1080.7</v>
      </c>
      <c r="L18" s="230">
        <f>Черн.!CB16</f>
        <v>722.88638000000003</v>
      </c>
      <c r="M18" s="241">
        <f t="shared" si="3"/>
        <v>66.890569075599146</v>
      </c>
      <c r="N18" s="230">
        <f>Черн.!CG16</f>
        <v>9134</v>
      </c>
      <c r="O18" s="230">
        <f>Черн.!CI16</f>
        <v>7935.3536799999993</v>
      </c>
      <c r="P18" s="230">
        <f t="shared" si="4"/>
        <v>86.877093058900797</v>
      </c>
      <c r="Q18" s="230">
        <f>Черн.!BS16</f>
        <v>357</v>
      </c>
      <c r="R18" s="230">
        <f>Черн.!BU16</f>
        <v>640.25698</v>
      </c>
      <c r="S18" s="243">
        <f t="shared" si="5"/>
        <v>179.34369187675071</v>
      </c>
    </row>
    <row r="19" spans="1:20" x14ac:dyDescent="0.25">
      <c r="A19" s="130" t="s">
        <v>173</v>
      </c>
      <c r="B19" s="230">
        <f>Черн.!BG17</f>
        <v>194546.45</v>
      </c>
      <c r="C19" s="230">
        <f>Черн.!BL17</f>
        <v>127179.55803999999</v>
      </c>
      <c r="D19" s="230">
        <f t="shared" si="0"/>
        <v>65.372335521928051</v>
      </c>
      <c r="E19" s="230">
        <f>Черн.!DL17</f>
        <v>104940.6</v>
      </c>
      <c r="F19" s="230">
        <f>Черн.!DN17</f>
        <v>70619.601200000005</v>
      </c>
      <c r="G19" s="230">
        <f t="shared" si="1"/>
        <v>67.29483269582984</v>
      </c>
      <c r="H19" s="230">
        <f>Черн.!BN17</f>
        <v>31597.074000000001</v>
      </c>
      <c r="I19" s="230">
        <f>Черн.!BP17</f>
        <v>33293.44399</v>
      </c>
      <c r="J19" s="241">
        <f t="shared" si="2"/>
        <v>105.36875658170121</v>
      </c>
      <c r="K19" s="230">
        <f>Черн.!BX17</f>
        <v>3190.8</v>
      </c>
      <c r="L19" s="230">
        <f>Черн.!CB17</f>
        <v>734.95968000000005</v>
      </c>
      <c r="M19" s="230">
        <f t="shared" si="3"/>
        <v>23.033711921775105</v>
      </c>
      <c r="N19" s="230">
        <f>Черн.!CG17</f>
        <v>17194</v>
      </c>
      <c r="O19" s="230">
        <f>Черн.!CI17</f>
        <v>11286.299800000001</v>
      </c>
      <c r="P19" s="230">
        <f t="shared" si="4"/>
        <v>65.640920088402936</v>
      </c>
      <c r="Q19" s="230">
        <f>Черн.!BS17</f>
        <v>886.5</v>
      </c>
      <c r="R19" s="230">
        <f>Черн.!BU17</f>
        <v>443.67409000000004</v>
      </c>
      <c r="S19" s="231">
        <f t="shared" si="5"/>
        <v>50.047838691483364</v>
      </c>
    </row>
    <row r="20" spans="1:20" x14ac:dyDescent="0.25">
      <c r="A20" s="130" t="s">
        <v>174</v>
      </c>
      <c r="B20" s="230">
        <f>Черн.!BG18</f>
        <v>254859.00700000001</v>
      </c>
      <c r="C20" s="230">
        <f>Черн.!BL18</f>
        <v>170866.98668</v>
      </c>
      <c r="D20" s="230">
        <f t="shared" si="0"/>
        <v>67.043730842127928</v>
      </c>
      <c r="E20" s="230">
        <f>Черн.!DL18</f>
        <v>148978</v>
      </c>
      <c r="F20" s="230">
        <f>Черн.!DN18</f>
        <v>110143.79635999999</v>
      </c>
      <c r="G20" s="230">
        <f t="shared" si="1"/>
        <v>73.932927251003505</v>
      </c>
      <c r="H20" s="230">
        <f>Черн.!BN18</f>
        <v>31044</v>
      </c>
      <c r="I20" s="230">
        <f>Черн.!BP18</f>
        <v>23081.174129999999</v>
      </c>
      <c r="J20" s="230">
        <f t="shared" si="2"/>
        <v>74.349871569385385</v>
      </c>
      <c r="K20" s="230">
        <f>Черн.!BX18</f>
        <v>18823</v>
      </c>
      <c r="L20" s="230">
        <f>Черн.!CB18</f>
        <v>6220.4611699999996</v>
      </c>
      <c r="M20" s="230">
        <f t="shared" si="3"/>
        <v>33.047129416139832</v>
      </c>
      <c r="N20" s="230">
        <f>Черн.!CG18</f>
        <v>37683.607000000004</v>
      </c>
      <c r="O20" s="230">
        <f>Черн.!CI18</f>
        <v>17525.611980000001</v>
      </c>
      <c r="P20" s="241">
        <f t="shared" si="4"/>
        <v>46.507257068040218</v>
      </c>
      <c r="Q20" s="230">
        <f>Черн.!BS18</f>
        <v>3270</v>
      </c>
      <c r="R20" s="230">
        <f>Черн.!BU18</f>
        <v>2399.5457700000002</v>
      </c>
      <c r="S20" s="231">
        <f t="shared" si="5"/>
        <v>73.380604587155958</v>
      </c>
    </row>
    <row r="21" spans="1:20" x14ac:dyDescent="0.25">
      <c r="A21" s="130" t="s">
        <v>175</v>
      </c>
      <c r="B21" s="230">
        <f>Черн.!BG19</f>
        <v>245313.67413999999</v>
      </c>
      <c r="C21" s="230">
        <f>Черн.!BL19</f>
        <v>162851.32376</v>
      </c>
      <c r="D21" s="230">
        <f t="shared" si="0"/>
        <v>66.38493525927997</v>
      </c>
      <c r="E21" s="230">
        <f>Черн.!DL19</f>
        <v>136879.6</v>
      </c>
      <c r="F21" s="230">
        <f>Черн.!DN19</f>
        <v>96954.059909999996</v>
      </c>
      <c r="G21" s="230">
        <f t="shared" si="1"/>
        <v>70.831635912144677</v>
      </c>
      <c r="H21" s="230">
        <f>Черн.!BN19</f>
        <v>27209</v>
      </c>
      <c r="I21" s="230">
        <f>Черн.!BP19</f>
        <v>19648.843980000001</v>
      </c>
      <c r="J21" s="230">
        <f t="shared" si="2"/>
        <v>72.21450248079681</v>
      </c>
      <c r="K21" s="230">
        <f>Черн.!BX19</f>
        <v>14076.13</v>
      </c>
      <c r="L21" s="230">
        <f>Черн.!CB19</f>
        <v>5991.9620400000003</v>
      </c>
      <c r="M21" s="230">
        <f t="shared" si="3"/>
        <v>42.568248801339571</v>
      </c>
      <c r="N21" s="230">
        <f>Черн.!CG19</f>
        <v>28013.098539999999</v>
      </c>
      <c r="O21" s="230">
        <f>Черн.!CI19</f>
        <v>15715.465850000001</v>
      </c>
      <c r="P21" s="230">
        <f t="shared" si="4"/>
        <v>56.100419693165442</v>
      </c>
      <c r="Q21" s="230">
        <f>Черн.!BS19</f>
        <v>18123.21227</v>
      </c>
      <c r="R21" s="230">
        <f>Черн.!BU19</f>
        <v>6650.0766700000004</v>
      </c>
      <c r="S21" s="231">
        <f t="shared" si="5"/>
        <v>36.693697402684563</v>
      </c>
    </row>
    <row r="22" spans="1:20" x14ac:dyDescent="0.25">
      <c r="A22" s="130" t="s">
        <v>176</v>
      </c>
      <c r="B22" s="230">
        <f>Черн.!BG20</f>
        <v>157705.83815999998</v>
      </c>
      <c r="C22" s="230">
        <f>Черн.!BL20</f>
        <v>108368.38236</v>
      </c>
      <c r="D22" s="230">
        <f t="shared" si="0"/>
        <v>68.715517208725771</v>
      </c>
      <c r="E22" s="230">
        <f>Черн.!DL20</f>
        <v>95760</v>
      </c>
      <c r="F22" s="230">
        <f>Черн.!DN20</f>
        <v>65685.843389999995</v>
      </c>
      <c r="G22" s="230">
        <f t="shared" si="1"/>
        <v>68.594239129072676</v>
      </c>
      <c r="H22" s="230">
        <f>Черн.!BN20</f>
        <v>13298.3961</v>
      </c>
      <c r="I22" s="230">
        <f>Черн.!BP20</f>
        <v>9117.0511999999999</v>
      </c>
      <c r="J22" s="230">
        <f t="shared" si="2"/>
        <v>68.557524767968076</v>
      </c>
      <c r="K22" s="230">
        <f>Черн.!BX20</f>
        <v>10484.4</v>
      </c>
      <c r="L22" s="230">
        <f>Черн.!CB20</f>
        <v>3395.3144300000004</v>
      </c>
      <c r="M22" s="230">
        <f t="shared" si="3"/>
        <v>32.384441932776319</v>
      </c>
      <c r="N22" s="230">
        <f>Черн.!CG20</f>
        <v>12900.279070000001</v>
      </c>
      <c r="O22" s="230">
        <f>Черн.!CI20</f>
        <v>9978.0523000000012</v>
      </c>
      <c r="P22" s="230">
        <f t="shared" si="4"/>
        <v>77.347569349908653</v>
      </c>
      <c r="Q22" s="230">
        <f>Черн.!BS20</f>
        <v>2218.924</v>
      </c>
      <c r="R22" s="230">
        <f>Черн.!BU20</f>
        <v>1566.7608799999998</v>
      </c>
      <c r="S22" s="231">
        <f t="shared" si="5"/>
        <v>70.609037533507234</v>
      </c>
    </row>
    <row r="23" spans="1:20" x14ac:dyDescent="0.25">
      <c r="A23" s="130" t="s">
        <v>177</v>
      </c>
      <c r="B23" s="230">
        <f>Черн.!BG21</f>
        <v>344785.51423999999</v>
      </c>
      <c r="C23" s="230">
        <f>Черн.!BL21</f>
        <v>233278.30074000001</v>
      </c>
      <c r="D23" s="230">
        <f t="shared" si="0"/>
        <v>67.658962196891636</v>
      </c>
      <c r="E23" s="230">
        <f>Черн.!DL21</f>
        <v>194612.32199999999</v>
      </c>
      <c r="F23" s="230">
        <f>Черн.!DN21</f>
        <v>138383.83431000001</v>
      </c>
      <c r="G23" s="230">
        <f t="shared" si="1"/>
        <v>71.107437025493184</v>
      </c>
      <c r="H23" s="230">
        <f>Черн.!BN21</f>
        <v>27866.93045</v>
      </c>
      <c r="I23" s="230">
        <f>Черн.!BP21</f>
        <v>19251.260620000001</v>
      </c>
      <c r="J23" s="230">
        <f t="shared" si="2"/>
        <v>69.082817192734623</v>
      </c>
      <c r="K23" s="230">
        <f>Черн.!BX21</f>
        <v>39733.29567</v>
      </c>
      <c r="L23" s="230">
        <f>Черн.!CB21</f>
        <v>21844.29117</v>
      </c>
      <c r="M23" s="230">
        <f t="shared" si="3"/>
        <v>54.977294990642292</v>
      </c>
      <c r="N23" s="230">
        <f>Черн.!CG21</f>
        <v>47944.387920000001</v>
      </c>
      <c r="O23" s="230">
        <f>Черн.!CI21</f>
        <v>20814.276979999999</v>
      </c>
      <c r="P23" s="241">
        <f t="shared" si="4"/>
        <v>43.413375126888049</v>
      </c>
      <c r="Q23" s="230">
        <f>Черн.!BS21</f>
        <v>7419.85</v>
      </c>
      <c r="R23" s="230">
        <f>Черн.!BU21</f>
        <v>13461.5445</v>
      </c>
      <c r="S23" s="243">
        <f t="shared" si="5"/>
        <v>181.42610025809145</v>
      </c>
      <c r="T23" s="220">
        <f>R23-Q23</f>
        <v>6041.6944999999996</v>
      </c>
    </row>
    <row r="24" spans="1:20" x14ac:dyDescent="0.25">
      <c r="A24" s="130" t="s">
        <v>178</v>
      </c>
      <c r="B24" s="230">
        <f>Черн.!BG22</f>
        <v>392068.74597000005</v>
      </c>
      <c r="C24" s="230">
        <f>Черн.!BL22</f>
        <v>307060.71756999998</v>
      </c>
      <c r="D24" s="241">
        <f t="shared" si="0"/>
        <v>78.318080878983238</v>
      </c>
      <c r="E24" s="230">
        <f>Черн.!DL22</f>
        <v>214199.16149999999</v>
      </c>
      <c r="F24" s="230">
        <f>Черн.!DN22</f>
        <v>171836.05321000001</v>
      </c>
      <c r="G24" s="230">
        <f t="shared" si="1"/>
        <v>80.222561099988255</v>
      </c>
      <c r="H24" s="230">
        <f>Черн.!BN22</f>
        <v>16967.830000000002</v>
      </c>
      <c r="I24" s="230">
        <f>Черн.!BP22</f>
        <v>12653.49725</v>
      </c>
      <c r="J24" s="230">
        <f t="shared" si="2"/>
        <v>74.573456063621563</v>
      </c>
      <c r="K24" s="230">
        <f>Черн.!BX22</f>
        <v>27304</v>
      </c>
      <c r="L24" s="230">
        <f>Черн.!CB22</f>
        <v>14606.162189999999</v>
      </c>
      <c r="M24" s="230">
        <f t="shared" si="3"/>
        <v>53.494587569586869</v>
      </c>
      <c r="N24" s="230">
        <f>Черн.!CG22</f>
        <v>30335.581999999999</v>
      </c>
      <c r="O24" s="230">
        <f>Черн.!CI22</f>
        <v>21341.743559999999</v>
      </c>
      <c r="P24" s="230">
        <f t="shared" si="4"/>
        <v>70.352181013042696</v>
      </c>
      <c r="Q24" s="230">
        <f>Черн.!BS22</f>
        <v>68170.041849999994</v>
      </c>
      <c r="R24" s="230">
        <f>Черн.!BU22</f>
        <v>70130.12341</v>
      </c>
      <c r="S24" s="243">
        <f t="shared" si="5"/>
        <v>102.87528290552164</v>
      </c>
    </row>
    <row r="25" spans="1:20" x14ac:dyDescent="0.25">
      <c r="A25" s="130" t="s">
        <v>179</v>
      </c>
      <c r="B25" s="230">
        <f>Черн.!BG23</f>
        <v>254404.4633</v>
      </c>
      <c r="C25" s="230">
        <f>Черн.!BL23</f>
        <v>195327.36044999998</v>
      </c>
      <c r="D25" s="230">
        <f t="shared" si="0"/>
        <v>76.778275788214117</v>
      </c>
      <c r="E25" s="230">
        <f>Черн.!DL23</f>
        <v>144995.02361999999</v>
      </c>
      <c r="F25" s="230">
        <f>Черн.!DN23</f>
        <v>118187.87053</v>
      </c>
      <c r="G25" s="241">
        <f t="shared" si="1"/>
        <v>81.511673696984502</v>
      </c>
      <c r="H25" s="230">
        <f>Черн.!BN23</f>
        <v>23739.565999999999</v>
      </c>
      <c r="I25" s="230">
        <f>Черн.!BP23</f>
        <v>17189.326860000001</v>
      </c>
      <c r="J25" s="230">
        <f t="shared" si="2"/>
        <v>72.407923801134359</v>
      </c>
      <c r="K25" s="230">
        <f>Черн.!BX23</f>
        <v>25131.973999999998</v>
      </c>
      <c r="L25" s="230">
        <f>Черн.!CB23</f>
        <v>10754.64075</v>
      </c>
      <c r="M25" s="230">
        <f t="shared" si="3"/>
        <v>42.792662247700882</v>
      </c>
      <c r="N25" s="230">
        <f>Черн.!CG23</f>
        <v>24885.598000000002</v>
      </c>
      <c r="O25" s="230">
        <f>Черн.!CI23</f>
        <v>20283.47106</v>
      </c>
      <c r="P25" s="230">
        <f t="shared" si="4"/>
        <v>81.506866180189832</v>
      </c>
      <c r="Q25" s="230">
        <f>Черн.!BS23</f>
        <v>5991.0216799999998</v>
      </c>
      <c r="R25" s="230">
        <f>Черн.!BU23</f>
        <v>5982.6187</v>
      </c>
      <c r="S25" s="231">
        <f t="shared" si="5"/>
        <v>99.859740450814058</v>
      </c>
    </row>
    <row r="26" spans="1:20" x14ac:dyDescent="0.25">
      <c r="A26" s="130" t="s">
        <v>180</v>
      </c>
      <c r="B26" s="230">
        <f>Черн.!BG24</f>
        <v>162681.89709000001</v>
      </c>
      <c r="C26" s="230">
        <f>Черн.!BL24</f>
        <v>116023.38241999998</v>
      </c>
      <c r="D26" s="230">
        <f t="shared" si="0"/>
        <v>71.319172259106807</v>
      </c>
      <c r="E26" s="230">
        <f>Черн.!DL24</f>
        <v>75288</v>
      </c>
      <c r="F26" s="230">
        <f>Черн.!DN24</f>
        <v>51318.820619999999</v>
      </c>
      <c r="G26" s="230">
        <f t="shared" si="1"/>
        <v>68.163346907873759</v>
      </c>
      <c r="H26" s="230">
        <f>Черн.!BN24</f>
        <v>18023</v>
      </c>
      <c r="I26" s="230">
        <f>Черн.!BP24</f>
        <v>12303.973050000001</v>
      </c>
      <c r="J26" s="230">
        <f t="shared" si="2"/>
        <v>68.268174277312326</v>
      </c>
      <c r="K26" s="230">
        <f>Черн.!BX24</f>
        <v>12494</v>
      </c>
      <c r="L26" s="230">
        <f>Черн.!CB24</f>
        <v>4593.7127899999996</v>
      </c>
      <c r="M26" s="230">
        <f t="shared" si="3"/>
        <v>36.767350648311186</v>
      </c>
      <c r="N26" s="230">
        <f>Черн.!CG24</f>
        <v>15767.848599999999</v>
      </c>
      <c r="O26" s="230">
        <f>Черн.!CI24</f>
        <v>13627.044609999999</v>
      </c>
      <c r="P26" s="230">
        <f t="shared" si="4"/>
        <v>86.422979797002867</v>
      </c>
      <c r="Q26" s="230">
        <f>Черн.!BS24</f>
        <v>11209.29336</v>
      </c>
      <c r="R26" s="230">
        <f>Черн.!BU24</f>
        <v>11056.373659999999</v>
      </c>
      <c r="S26" s="231">
        <f t="shared" si="5"/>
        <v>98.635777518806947</v>
      </c>
    </row>
    <row r="27" spans="1:20" x14ac:dyDescent="0.25">
      <c r="A27" s="130" t="s">
        <v>181</v>
      </c>
      <c r="B27" s="230">
        <f>Черн.!BG25</f>
        <v>83707.558000000005</v>
      </c>
      <c r="C27" s="230">
        <f>Черн.!BL25</f>
        <v>51753.128159999993</v>
      </c>
      <c r="D27" s="241">
        <f t="shared" si="0"/>
        <v>61.826111520300223</v>
      </c>
      <c r="E27" s="230">
        <f>Черн.!DL25</f>
        <v>35743</v>
      </c>
      <c r="F27" s="230">
        <f>Черн.!DN25</f>
        <v>25326.462739999999</v>
      </c>
      <c r="G27" s="230">
        <f t="shared" si="1"/>
        <v>70.857126542260019</v>
      </c>
      <c r="H27" s="230">
        <f>Черн.!BN25</f>
        <v>8997.5</v>
      </c>
      <c r="I27" s="230">
        <f>Черн.!BP25</f>
        <v>6544.1482900000001</v>
      </c>
      <c r="J27" s="230">
        <f t="shared" si="2"/>
        <v>72.732962378438458</v>
      </c>
      <c r="K27" s="230">
        <f>Черн.!BX25</f>
        <v>12152</v>
      </c>
      <c r="L27" s="230">
        <f>Черн.!CB25</f>
        <v>2856.6814399999998</v>
      </c>
      <c r="M27" s="230">
        <f t="shared" si="3"/>
        <v>23.507911784068465</v>
      </c>
      <c r="N27" s="230">
        <f>Черн.!CG25</f>
        <v>13125.2</v>
      </c>
      <c r="O27" s="230">
        <f>Черн.!CI25</f>
        <v>7285.6073799999995</v>
      </c>
      <c r="P27" s="230">
        <f t="shared" si="4"/>
        <v>55.508543717429056</v>
      </c>
      <c r="Q27" s="230">
        <f>Черн.!BS25</f>
        <v>467</v>
      </c>
      <c r="R27" s="230">
        <f>Черн.!BU25</f>
        <v>478.57191999999998</v>
      </c>
      <c r="S27" s="243">
        <f t="shared" si="5"/>
        <v>102.47792719486081</v>
      </c>
    </row>
    <row r="28" spans="1:20" x14ac:dyDescent="0.25">
      <c r="A28" s="130" t="s">
        <v>182</v>
      </c>
      <c r="B28" s="230">
        <f>Черн.!BG26</f>
        <v>4304947.4826699998</v>
      </c>
      <c r="C28" s="230">
        <f>Черн.!BL26</f>
        <v>3073780.6515300004</v>
      </c>
      <c r="D28" s="230">
        <f t="shared" si="0"/>
        <v>71.401118455075576</v>
      </c>
      <c r="E28" s="230">
        <f>Черн.!DL26</f>
        <v>2891074.5</v>
      </c>
      <c r="F28" s="230">
        <f>Черн.!DN26</f>
        <v>1991961.8089700001</v>
      </c>
      <c r="G28" s="230">
        <f t="shared" si="1"/>
        <v>68.900397031276782</v>
      </c>
      <c r="H28" s="230">
        <f>Черн.!BN26</f>
        <v>499300</v>
      </c>
      <c r="I28" s="230">
        <f>Черн.!BP26</f>
        <v>363824.52668000001</v>
      </c>
      <c r="J28" s="230">
        <f t="shared" si="2"/>
        <v>72.866919022631691</v>
      </c>
      <c r="K28" s="230">
        <f>Черн.!BX26</f>
        <v>218546</v>
      </c>
      <c r="L28" s="230">
        <f>Черн.!CB26</f>
        <v>112686.75612999999</v>
      </c>
      <c r="M28" s="230">
        <f t="shared" si="3"/>
        <v>51.562030936278859</v>
      </c>
      <c r="N28" s="230">
        <f>Черн.!CG26</f>
        <v>341583.69400000002</v>
      </c>
      <c r="O28" s="230">
        <f>Черн.!CI26</f>
        <v>288055.09181999997</v>
      </c>
      <c r="P28" s="230">
        <f t="shared" si="4"/>
        <v>84.329286461782914</v>
      </c>
      <c r="Q28" s="230">
        <f>Черн.!BS26</f>
        <v>143613.342</v>
      </c>
      <c r="R28" s="230">
        <f>Черн.!BU26</f>
        <v>118725.16356999999</v>
      </c>
      <c r="S28" s="231">
        <f t="shared" si="5"/>
        <v>82.670009566381367</v>
      </c>
    </row>
    <row r="29" spans="1:20" x14ac:dyDescent="0.25">
      <c r="A29" s="130" t="s">
        <v>183</v>
      </c>
      <c r="B29" s="230">
        <f>Черн.!BG27</f>
        <v>3318139.9571500001</v>
      </c>
      <c r="C29" s="230">
        <f>Черн.!BL27</f>
        <v>2371072.1608699998</v>
      </c>
      <c r="D29" s="230">
        <f t="shared" si="0"/>
        <v>71.45787071943009</v>
      </c>
      <c r="E29" s="230">
        <f>Черн.!DL27</f>
        <v>2384248.7999999998</v>
      </c>
      <c r="F29" s="230">
        <f>Черн.!DN27</f>
        <v>1693751.5743399998</v>
      </c>
      <c r="G29" s="230">
        <f t="shared" si="1"/>
        <v>71.039212616569216</v>
      </c>
      <c r="H29" s="230">
        <f>Черн.!BN27</f>
        <v>162572</v>
      </c>
      <c r="I29" s="230">
        <f>Черн.!BP27</f>
        <v>116123.15977</v>
      </c>
      <c r="J29" s="230">
        <f t="shared" si="2"/>
        <v>71.428757578180736</v>
      </c>
      <c r="K29" s="230">
        <f>Черн.!BX27</f>
        <v>216455.3</v>
      </c>
      <c r="L29" s="230">
        <f>Черн.!CB27</f>
        <v>136891.29003999999</v>
      </c>
      <c r="M29" s="230">
        <f t="shared" si="3"/>
        <v>63.242290690040853</v>
      </c>
      <c r="N29" s="230">
        <f>Черн.!CG27</f>
        <v>204505.53124000001</v>
      </c>
      <c r="O29" s="230">
        <f>Черн.!CI27</f>
        <v>126035.08249</v>
      </c>
      <c r="P29" s="230">
        <f t="shared" si="4"/>
        <v>61.629180260210155</v>
      </c>
      <c r="Q29" s="230">
        <f>Черн.!BS27</f>
        <v>266546.57699999999</v>
      </c>
      <c r="R29" s="230">
        <f>Черн.!BU27</f>
        <v>238775.54694</v>
      </c>
      <c r="S29" s="231">
        <f t="shared" si="5"/>
        <v>89.581171751457163</v>
      </c>
    </row>
    <row r="30" spans="1:20" x14ac:dyDescent="0.25">
      <c r="A30" s="130" t="s">
        <v>184</v>
      </c>
      <c r="B30" s="230">
        <f>Черн.!BG28</f>
        <v>656620.4</v>
      </c>
      <c r="C30" s="230">
        <f>Черн.!BL28</f>
        <v>497285.04467999999</v>
      </c>
      <c r="D30" s="230">
        <f t="shared" si="0"/>
        <v>75.734022988015596</v>
      </c>
      <c r="E30" s="230">
        <f>Черн.!DL28</f>
        <v>409139.4</v>
      </c>
      <c r="F30" s="230">
        <f>Черн.!DN28</f>
        <v>305203.40879000002</v>
      </c>
      <c r="G30" s="230">
        <f t="shared" si="1"/>
        <v>74.59643554006287</v>
      </c>
      <c r="H30" s="230">
        <f>Черн.!BN28</f>
        <v>71411</v>
      </c>
      <c r="I30" s="230">
        <f>Черн.!BP28</f>
        <v>63183.671000000002</v>
      </c>
      <c r="J30" s="230">
        <f t="shared" si="2"/>
        <v>88.47890521068183</v>
      </c>
      <c r="K30" s="230">
        <f>Черн.!BX28</f>
        <v>56521.4</v>
      </c>
      <c r="L30" s="230">
        <f>Черн.!CB28</f>
        <v>29084.248370000001</v>
      </c>
      <c r="M30" s="230">
        <f t="shared" si="3"/>
        <v>51.457055858488992</v>
      </c>
      <c r="N30" s="230">
        <f>Черн.!CG28</f>
        <v>57521.2</v>
      </c>
      <c r="O30" s="230">
        <f>Черн.!CI28</f>
        <v>43964.575440000001</v>
      </c>
      <c r="P30" s="230">
        <f t="shared" si="4"/>
        <v>76.431951071952611</v>
      </c>
      <c r="Q30" s="230">
        <f>Черн.!BS28</f>
        <v>18556.599999999999</v>
      </c>
      <c r="R30" s="230">
        <f>Черн.!BU28</f>
        <v>18598.895069999999</v>
      </c>
      <c r="S30" s="243">
        <f t="shared" si="5"/>
        <v>100.22792467370101</v>
      </c>
    </row>
    <row r="31" spans="1:20" x14ac:dyDescent="0.25">
      <c r="A31" s="130" t="s">
        <v>185</v>
      </c>
      <c r="B31" s="230">
        <f>Черн.!BG29</f>
        <v>360903.1</v>
      </c>
      <c r="C31" s="230">
        <f>Черн.!BL29</f>
        <v>234084.66927000001</v>
      </c>
      <c r="D31" s="230">
        <f t="shared" si="0"/>
        <v>64.860808696295493</v>
      </c>
      <c r="E31" s="230">
        <f>Черн.!DL29</f>
        <v>237731</v>
      </c>
      <c r="F31" s="230">
        <f>Черн.!DN29</f>
        <v>168166.6594</v>
      </c>
      <c r="G31" s="230">
        <f t="shared" si="1"/>
        <v>70.738212265123195</v>
      </c>
      <c r="H31" s="230">
        <f>Черн.!BN29</f>
        <v>21863</v>
      </c>
      <c r="I31" s="230">
        <f>Черн.!BP29</f>
        <v>15940.65876</v>
      </c>
      <c r="J31" s="230">
        <f t="shared" si="2"/>
        <v>72.911580112518877</v>
      </c>
      <c r="K31" s="230">
        <f>Черн.!BX29</f>
        <v>35984</v>
      </c>
      <c r="L31" s="230">
        <f>Черн.!CB29</f>
        <v>20073.333139999999</v>
      </c>
      <c r="M31" s="230">
        <f t="shared" si="3"/>
        <v>55.78405163405958</v>
      </c>
      <c r="N31" s="230">
        <f>Черн.!CG29</f>
        <v>24784</v>
      </c>
      <c r="O31" s="230">
        <f>Черн.!CI29</f>
        <v>17408.451719999997</v>
      </c>
      <c r="P31" s="230">
        <f t="shared" si="4"/>
        <v>70.240686410587458</v>
      </c>
      <c r="Q31" s="230">
        <f>Черн.!BS29</f>
        <v>640</v>
      </c>
      <c r="R31" s="230">
        <f>Черн.!BU29</f>
        <v>1101.8050800000001</v>
      </c>
      <c r="S31" s="243">
        <f t="shared" si="5"/>
        <v>172.15704375000001</v>
      </c>
    </row>
    <row r="32" spans="1:20" x14ac:dyDescent="0.25">
      <c r="A32" s="130" t="s">
        <v>186</v>
      </c>
      <c r="B32" s="230">
        <f>Черн.!BG30</f>
        <v>386818.51626999996</v>
      </c>
      <c r="C32" s="230">
        <f>Черн.!BL30</f>
        <v>281513.05710999999</v>
      </c>
      <c r="D32" s="230">
        <f t="shared" si="0"/>
        <v>72.776520582459241</v>
      </c>
      <c r="E32" s="230">
        <f>Черн.!DL30</f>
        <v>271301.7</v>
      </c>
      <c r="F32" s="230">
        <f>Черн.!DN30</f>
        <v>203770.59933000003</v>
      </c>
      <c r="G32" s="230">
        <f t="shared" si="1"/>
        <v>75.108485988108441</v>
      </c>
      <c r="H32" s="230">
        <f>Черн.!BN30</f>
        <v>29905</v>
      </c>
      <c r="I32" s="230">
        <f>Черн.!BP30</f>
        <v>20496.495870000002</v>
      </c>
      <c r="J32" s="230">
        <f t="shared" si="2"/>
        <v>68.538692091623474</v>
      </c>
      <c r="K32" s="230">
        <f>Черн.!BX30</f>
        <v>33074</v>
      </c>
      <c r="L32" s="230">
        <f>Черн.!CB30</f>
        <v>17994.42715</v>
      </c>
      <c r="M32" s="230">
        <f t="shared" si="3"/>
        <v>54.406564521981011</v>
      </c>
      <c r="N32" s="230">
        <f>Черн.!CG30</f>
        <v>25613.200000000001</v>
      </c>
      <c r="O32" s="230">
        <f>Черн.!CI30</f>
        <v>17242.63394</v>
      </c>
      <c r="P32" s="230">
        <f t="shared" si="4"/>
        <v>67.319327299985943</v>
      </c>
      <c r="Q32" s="230">
        <f>Черн.!BS30</f>
        <v>5488.3</v>
      </c>
      <c r="R32" s="230">
        <f>Черн.!BU30</f>
        <v>5320.2376399999994</v>
      </c>
      <c r="S32" s="231">
        <f t="shared" si="5"/>
        <v>96.937806606781677</v>
      </c>
    </row>
    <row r="33" spans="1:19" x14ac:dyDescent="0.25">
      <c r="A33" s="130" t="s">
        <v>187</v>
      </c>
      <c r="B33" s="230">
        <f>Черн.!BG31</f>
        <v>538151.80000000005</v>
      </c>
      <c r="C33" s="230">
        <f>Черн.!BL31</f>
        <v>319520.34856000001</v>
      </c>
      <c r="D33" s="241">
        <f t="shared" si="0"/>
        <v>59.373646721984393</v>
      </c>
      <c r="E33" s="230">
        <f>Черн.!DL31</f>
        <v>391034</v>
      </c>
      <c r="F33" s="230">
        <f>Черн.!DN31</f>
        <v>225616.88918</v>
      </c>
      <c r="G33" s="241">
        <f t="shared" si="1"/>
        <v>57.697512027087157</v>
      </c>
      <c r="H33" s="230">
        <f>Черн.!BN31</f>
        <v>17215</v>
      </c>
      <c r="I33" s="230">
        <f>Черн.!BP31</f>
        <v>12101.542750000001</v>
      </c>
      <c r="J33" s="230">
        <f t="shared" si="2"/>
        <v>70.296501597444092</v>
      </c>
      <c r="K33" s="230">
        <f>Черн.!BX31</f>
        <v>16686</v>
      </c>
      <c r="L33" s="230">
        <f>Черн.!CB31</f>
        <v>12281.737130000001</v>
      </c>
      <c r="M33" s="241">
        <f t="shared" si="3"/>
        <v>73.605040932518278</v>
      </c>
      <c r="N33" s="230">
        <f>Черн.!CG31</f>
        <v>52224</v>
      </c>
      <c r="O33" s="230">
        <f>Черн.!CI31</f>
        <v>37161.311079999999</v>
      </c>
      <c r="P33" s="230">
        <f t="shared" si="4"/>
        <v>71.157535003063728</v>
      </c>
      <c r="Q33" s="230">
        <f>Черн.!BS31</f>
        <v>652</v>
      </c>
      <c r="R33" s="230">
        <f>Черн.!BU31</f>
        <v>902.48919999999998</v>
      </c>
      <c r="S33" s="243">
        <f t="shared" si="5"/>
        <v>138.41858895705522</v>
      </c>
    </row>
    <row r="34" spans="1:19" x14ac:dyDescent="0.25">
      <c r="A34" s="130" t="s">
        <v>188</v>
      </c>
      <c r="B34" s="230">
        <f>Черн.!BG32</f>
        <v>103659.67164</v>
      </c>
      <c r="C34" s="230">
        <f>Черн.!BL32</f>
        <v>68746.954660000003</v>
      </c>
      <c r="D34" s="230">
        <f t="shared" si="0"/>
        <v>66.319865355884502</v>
      </c>
      <c r="E34" s="230">
        <f>Черн.!DL32</f>
        <v>102694.39999999999</v>
      </c>
      <c r="F34" s="230">
        <f>Черн.!DN32</f>
        <v>68449.309959999999</v>
      </c>
      <c r="G34" s="230">
        <f t="shared" si="1"/>
        <v>66.653400730711709</v>
      </c>
      <c r="H34" s="230">
        <f>Черн.!BN32</f>
        <v>34.700000000000003</v>
      </c>
      <c r="I34" s="230">
        <f>Черн.!BP32</f>
        <v>35.682000000000002</v>
      </c>
      <c r="J34" s="241">
        <f t="shared" si="2"/>
        <v>102.82997118155619</v>
      </c>
      <c r="K34" s="230">
        <f>Черн.!BX32</f>
        <v>200</v>
      </c>
      <c r="L34" s="230">
        <f>Черн.!CB32</f>
        <v>86.700999999999993</v>
      </c>
      <c r="M34" s="230">
        <f t="shared" si="3"/>
        <v>43.350499999999997</v>
      </c>
      <c r="N34" s="230">
        <f>Черн.!CG32</f>
        <v>223.57164</v>
      </c>
      <c r="O34" s="230">
        <f>Черн.!CI32</f>
        <v>84.99</v>
      </c>
      <c r="P34" s="241">
        <f t="shared" si="4"/>
        <v>38.014660535656489</v>
      </c>
      <c r="Q34" s="230">
        <f>Черн.!BS32</f>
        <v>0</v>
      </c>
      <c r="R34" s="230">
        <f>Черн.!BU32</f>
        <v>0</v>
      </c>
      <c r="S34" s="231"/>
    </row>
    <row r="35" spans="1:19" s="219" customFormat="1" ht="13.8" thickBot="1" x14ac:dyDescent="0.3">
      <c r="A35" s="242" t="s">
        <v>189</v>
      </c>
      <c r="B35" s="236">
        <f>Черн.!BG33</f>
        <v>13235815.386949999</v>
      </c>
      <c r="C35" s="236">
        <f>Черн.!BL33</f>
        <v>9377186.6915800013</v>
      </c>
      <c r="D35" s="236">
        <f t="shared" si="0"/>
        <v>70.847064706157383</v>
      </c>
      <c r="E35" s="236">
        <f>Черн.!DL33</f>
        <v>8621478.6668600012</v>
      </c>
      <c r="F35" s="236">
        <f>Черн.!DN33</f>
        <v>6088345.3453699993</v>
      </c>
      <c r="G35" s="236">
        <f t="shared" si="1"/>
        <v>70.618342637358921</v>
      </c>
      <c r="H35" s="236">
        <f>Черн.!BN33</f>
        <v>1141175.8879500001</v>
      </c>
      <c r="I35" s="236">
        <f>Черн.!BP33</f>
        <v>846004.52218000009</v>
      </c>
      <c r="J35" s="236">
        <f t="shared" si="2"/>
        <v>74.134454742095571</v>
      </c>
      <c r="K35" s="236">
        <f>Черн.!BX33</f>
        <v>870247.83854999999</v>
      </c>
      <c r="L35" s="236">
        <f>Черн.!CB33</f>
        <v>445492.75443000003</v>
      </c>
      <c r="M35" s="236">
        <f t="shared" si="3"/>
        <v>51.191480713388096</v>
      </c>
      <c r="N35" s="236">
        <f>Черн.!CG33</f>
        <v>1089257.93609</v>
      </c>
      <c r="O35" s="236">
        <f>Черн.!CI33</f>
        <v>784331.12497</v>
      </c>
      <c r="P35" s="236">
        <f t="shared" si="4"/>
        <v>72.006005096041335</v>
      </c>
      <c r="Q35" s="236">
        <f>Черн.!BS33</f>
        <v>624181.52895000007</v>
      </c>
      <c r="R35" s="236">
        <f>Черн.!BU33</f>
        <v>553899.87340999977</v>
      </c>
      <c r="S35" s="237">
        <f t="shared" si="5"/>
        <v>88.740189787700345</v>
      </c>
    </row>
    <row r="36" spans="1:19" ht="13.8" thickTop="1" x14ac:dyDescent="0.25"/>
    <row r="37" spans="1:19" x14ac:dyDescent="0.25">
      <c r="B37" s="217">
        <f>B35/1000</f>
        <v>13235.815386949998</v>
      </c>
      <c r="C37" s="217">
        <f t="shared" ref="C37:R37" si="6">C35/1000</f>
        <v>9377.1866915800019</v>
      </c>
      <c r="D37" s="217">
        <f t="shared" si="0"/>
        <v>70.847064706157397</v>
      </c>
      <c r="E37" s="217">
        <f t="shared" si="6"/>
        <v>8621.4786668600009</v>
      </c>
      <c r="F37" s="217">
        <f t="shared" si="6"/>
        <v>6088.3453453699994</v>
      </c>
      <c r="G37" s="217">
        <f t="shared" si="1"/>
        <v>70.618342637358921</v>
      </c>
      <c r="H37" s="217">
        <f t="shared" si="6"/>
        <v>1141.1758879500001</v>
      </c>
      <c r="I37" s="217">
        <f t="shared" si="6"/>
        <v>846.00452218000009</v>
      </c>
      <c r="J37" s="217">
        <f t="shared" si="2"/>
        <v>74.134454742095571</v>
      </c>
      <c r="K37" s="217">
        <f t="shared" si="6"/>
        <v>870.24783854999998</v>
      </c>
      <c r="L37" s="217">
        <f t="shared" si="6"/>
        <v>445.49275443000005</v>
      </c>
      <c r="M37" s="217">
        <f t="shared" si="3"/>
        <v>51.191480713388103</v>
      </c>
      <c r="N37" s="217">
        <f t="shared" si="6"/>
        <v>1089.2579360899999</v>
      </c>
      <c r="O37" s="217">
        <f t="shared" si="6"/>
        <v>784.33112497000002</v>
      </c>
      <c r="P37" s="217">
        <f t="shared" si="4"/>
        <v>72.006005096041335</v>
      </c>
      <c r="Q37" s="217">
        <f t="shared" si="6"/>
        <v>624.18152895000003</v>
      </c>
      <c r="R37" s="217">
        <f t="shared" si="6"/>
        <v>553.89987340999971</v>
      </c>
      <c r="S37" s="217">
        <f t="shared" si="5"/>
        <v>88.740189787700331</v>
      </c>
    </row>
    <row r="39" spans="1:19" x14ac:dyDescent="0.25">
      <c r="K39" s="296"/>
      <c r="L39" s="296"/>
    </row>
  </sheetData>
  <autoFilter ref="A8:S35"/>
  <mergeCells count="10">
    <mergeCell ref="Q1:S1"/>
    <mergeCell ref="A3:S3"/>
    <mergeCell ref="A5:A7"/>
    <mergeCell ref="B5:D6"/>
    <mergeCell ref="E5:S5"/>
    <mergeCell ref="E6:G6"/>
    <mergeCell ref="H6:J6"/>
    <mergeCell ref="K6:M6"/>
    <mergeCell ref="N6:P6"/>
    <mergeCell ref="Q6:S6"/>
  </mergeCells>
  <pageMargins left="0" right="0" top="0.74803149606299213" bottom="0.74803149606299213" header="0.31496062992125984" footer="0.31496062992125984"/>
  <pageSetup paperSize="9" scale="78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workbookViewId="0">
      <pane xSplit="1" ySplit="9" topLeftCell="B10" activePane="bottomRight" state="frozen"/>
      <selection activeCell="B20" sqref="B20"/>
      <selection pane="topRight" activeCell="B20" sqref="B20"/>
      <selection pane="bottomLeft" activeCell="B20" sqref="B20"/>
      <selection pane="bottomRight" activeCell="N7" sqref="N7:N8"/>
    </sheetView>
  </sheetViews>
  <sheetFormatPr defaultColWidth="9.109375" defaultRowHeight="13.2" x14ac:dyDescent="0.25"/>
  <cols>
    <col min="1" max="1" width="22" style="213" customWidth="1"/>
    <col min="2" max="2" width="12.33203125" style="220" bestFit="1" customWidth="1"/>
    <col min="3" max="5" width="11.33203125" style="220" bestFit="1" customWidth="1"/>
    <col min="6" max="6" width="9.6640625" style="220" bestFit="1" customWidth="1"/>
    <col min="7" max="7" width="12.33203125" style="220" bestFit="1" customWidth="1"/>
    <col min="8" max="10" width="11.33203125" style="220" bestFit="1" customWidth="1"/>
    <col min="11" max="11" width="10.33203125" style="220" bestFit="1" customWidth="1"/>
    <col min="12" max="12" width="6.33203125" style="220" bestFit="1" customWidth="1"/>
    <col min="13" max="13" width="7.109375" style="220" customWidth="1"/>
    <col min="14" max="14" width="5.6640625" style="220" customWidth="1"/>
    <col min="15" max="15" width="6.6640625" style="220" customWidth="1"/>
    <col min="16" max="16" width="7.44140625" style="220" customWidth="1"/>
    <col min="17" max="16384" width="9.109375" style="220"/>
  </cols>
  <sheetData>
    <row r="1" spans="1:17" x14ac:dyDescent="0.25">
      <c r="A1" s="19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473" t="s">
        <v>1138</v>
      </c>
      <c r="O1" s="473"/>
      <c r="P1" s="473"/>
    </row>
    <row r="2" spans="1:17" x14ac:dyDescent="0.25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17" ht="35.25" customHeight="1" x14ac:dyDescent="0.25">
      <c r="A3" s="474" t="s">
        <v>1139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</row>
    <row r="4" spans="1:17" ht="13.8" thickBot="1" x14ac:dyDescent="0.3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479" t="s">
        <v>191</v>
      </c>
      <c r="P4" s="480"/>
    </row>
    <row r="5" spans="1:17" ht="41.25" customHeight="1" thickTop="1" x14ac:dyDescent="0.25">
      <c r="A5" s="450" t="s">
        <v>192</v>
      </c>
      <c r="B5" s="475" t="s">
        <v>403</v>
      </c>
      <c r="C5" s="475"/>
      <c r="D5" s="475"/>
      <c r="E5" s="475"/>
      <c r="F5" s="475"/>
      <c r="G5" s="475" t="s">
        <v>408</v>
      </c>
      <c r="H5" s="475"/>
      <c r="I5" s="475"/>
      <c r="J5" s="475"/>
      <c r="K5" s="475"/>
      <c r="L5" s="475" t="s">
        <v>426</v>
      </c>
      <c r="M5" s="475"/>
      <c r="N5" s="475"/>
      <c r="O5" s="475"/>
      <c r="P5" s="476"/>
    </row>
    <row r="6" spans="1:17" x14ac:dyDescent="0.25">
      <c r="A6" s="451"/>
      <c r="B6" s="477" t="s">
        <v>198</v>
      </c>
      <c r="C6" s="477" t="s">
        <v>143</v>
      </c>
      <c r="D6" s="477"/>
      <c r="E6" s="477"/>
      <c r="F6" s="477"/>
      <c r="G6" s="477" t="s">
        <v>198</v>
      </c>
      <c r="H6" s="477" t="s">
        <v>143</v>
      </c>
      <c r="I6" s="477"/>
      <c r="J6" s="477"/>
      <c r="K6" s="477"/>
      <c r="L6" s="477" t="s">
        <v>198</v>
      </c>
      <c r="M6" s="477" t="s">
        <v>143</v>
      </c>
      <c r="N6" s="477"/>
      <c r="O6" s="477"/>
      <c r="P6" s="478"/>
    </row>
    <row r="7" spans="1:17" ht="24.75" customHeight="1" x14ac:dyDescent="0.25">
      <c r="A7" s="451"/>
      <c r="B7" s="477"/>
      <c r="C7" s="477" t="s">
        <v>220</v>
      </c>
      <c r="D7" s="477" t="s">
        <v>221</v>
      </c>
      <c r="E7" s="477" t="s">
        <v>222</v>
      </c>
      <c r="F7" s="477" t="s">
        <v>404</v>
      </c>
      <c r="G7" s="477"/>
      <c r="H7" s="477" t="s">
        <v>220</v>
      </c>
      <c r="I7" s="477" t="s">
        <v>221</v>
      </c>
      <c r="J7" s="477" t="s">
        <v>222</v>
      </c>
      <c r="K7" s="477" t="s">
        <v>404</v>
      </c>
      <c r="L7" s="477"/>
      <c r="M7" s="477" t="s">
        <v>405</v>
      </c>
      <c r="N7" s="477" t="s">
        <v>417</v>
      </c>
      <c r="O7" s="477" t="s">
        <v>406</v>
      </c>
      <c r="P7" s="478" t="s">
        <v>404</v>
      </c>
    </row>
    <row r="8" spans="1:17" x14ac:dyDescent="0.25">
      <c r="A8" s="451"/>
      <c r="B8" s="477"/>
      <c r="C8" s="477"/>
      <c r="D8" s="477"/>
      <c r="E8" s="477"/>
      <c r="F8" s="477"/>
      <c r="G8" s="477"/>
      <c r="H8" s="477"/>
      <c r="I8" s="477"/>
      <c r="J8" s="477"/>
      <c r="K8" s="477"/>
      <c r="L8" s="477"/>
      <c r="M8" s="477"/>
      <c r="N8" s="477"/>
      <c r="O8" s="477"/>
      <c r="P8" s="478"/>
    </row>
    <row r="9" spans="1:17" x14ac:dyDescent="0.25">
      <c r="A9" s="226" t="s">
        <v>13</v>
      </c>
      <c r="B9" s="247">
        <v>1</v>
      </c>
      <c r="C9" s="247">
        <v>2</v>
      </c>
      <c r="D9" s="247">
        <v>3</v>
      </c>
      <c r="E9" s="247">
        <v>4</v>
      </c>
      <c r="F9" s="247">
        <v>5</v>
      </c>
      <c r="G9" s="247">
        <v>6</v>
      </c>
      <c r="H9" s="247">
        <v>7</v>
      </c>
      <c r="I9" s="247">
        <v>8</v>
      </c>
      <c r="J9" s="247">
        <v>9</v>
      </c>
      <c r="K9" s="247">
        <v>10</v>
      </c>
      <c r="L9" s="247">
        <v>11</v>
      </c>
      <c r="M9" s="247">
        <v>12</v>
      </c>
      <c r="N9" s="247">
        <v>13</v>
      </c>
      <c r="O9" s="247">
        <v>14</v>
      </c>
      <c r="P9" s="248">
        <v>15</v>
      </c>
    </row>
    <row r="10" spans="1:17" x14ac:dyDescent="0.25">
      <c r="A10" s="130" t="s">
        <v>163</v>
      </c>
      <c r="B10" s="33">
        <f>Черн_кон.рас.!D8</f>
        <v>752079.23315999995</v>
      </c>
      <c r="C10" s="33">
        <f>Черн_кон.рас.!G8</f>
        <v>248145.32691</v>
      </c>
      <c r="D10" s="33">
        <f>Черн_кон.рас.!J8</f>
        <v>427466.95568000001</v>
      </c>
      <c r="E10" s="33">
        <f>Черн_кон.рас.!M8</f>
        <v>71186.8</v>
      </c>
      <c r="F10" s="33">
        <f>Черн_кон.рас.!P8</f>
        <v>5280.1505700000007</v>
      </c>
      <c r="G10" s="33">
        <f>Черн_кон.рас.!S8</f>
        <v>639468.44388000004</v>
      </c>
      <c r="H10" s="33">
        <f>Черн_кон.рас.!V8</f>
        <v>115174.09207</v>
      </c>
      <c r="I10" s="33">
        <f>Черн_кон.рас.!Y8</f>
        <v>451191.04382000002</v>
      </c>
      <c r="J10" s="33">
        <f>Черн_кон.рас.!AB8</f>
        <v>71709.100000000006</v>
      </c>
      <c r="K10" s="33">
        <f>Черн_кон.рас.!AE8</f>
        <v>1394.2079899999999</v>
      </c>
      <c r="L10" s="33">
        <f>G10/B10%-100</f>
        <v>-14.973261368598742</v>
      </c>
      <c r="M10" s="33">
        <f>H10/C10%-100</f>
        <v>-53.586032223861878</v>
      </c>
      <c r="N10" s="33">
        <f>I10/D10%-100</f>
        <v>5.5499232922602175</v>
      </c>
      <c r="O10" s="33">
        <f>J10/E10%-100</f>
        <v>0.73370343940169391</v>
      </c>
      <c r="P10" s="46">
        <f>K10/F10%-100</f>
        <v>-73.595298628008635</v>
      </c>
    </row>
    <row r="11" spans="1:17" ht="26.4" x14ac:dyDescent="0.25">
      <c r="A11" s="130" t="s">
        <v>164</v>
      </c>
      <c r="B11" s="33">
        <f>Черн_кон.рас.!D9</f>
        <v>371594.56280000001</v>
      </c>
      <c r="C11" s="33">
        <f>Черн_кон.рас.!G9</f>
        <v>144277.42659000002</v>
      </c>
      <c r="D11" s="33">
        <f>Черн_кон.рас.!J9</f>
        <v>191440.39521000002</v>
      </c>
      <c r="E11" s="33">
        <f>Черн_кон.рас.!M9</f>
        <v>35542.300000000003</v>
      </c>
      <c r="F11" s="33">
        <f>Черн_кон.рас.!P9</f>
        <v>334.44099999999997</v>
      </c>
      <c r="G11" s="33">
        <f>Черн_кон.рас.!S9</f>
        <v>383957.50737000001</v>
      </c>
      <c r="H11" s="33">
        <f>Черн_кон.рас.!V9</f>
        <v>157602.83784999998</v>
      </c>
      <c r="I11" s="33">
        <f>Черн_кон.рас.!Y9</f>
        <v>187723.36752</v>
      </c>
      <c r="J11" s="33">
        <f>Черн_кон.рас.!AB9</f>
        <v>34314.6</v>
      </c>
      <c r="K11" s="33">
        <f>Черн_кон.рас.!AE9</f>
        <v>4316.7020000000002</v>
      </c>
      <c r="L11" s="33">
        <f t="shared" ref="L11:P36" si="0">G11/B11%-100</f>
        <v>3.3269982415361739</v>
      </c>
      <c r="M11" s="33">
        <f t="shared" si="0"/>
        <v>9.23596405546337</v>
      </c>
      <c r="N11" s="33">
        <f t="shared" si="0"/>
        <v>-1.9416109572499778</v>
      </c>
      <c r="O11" s="33">
        <f t="shared" si="0"/>
        <v>-3.4541940167068645</v>
      </c>
      <c r="P11" s="360" t="s">
        <v>423</v>
      </c>
      <c r="Q11" s="220">
        <f>K11/F11</f>
        <v>12.907215323480077</v>
      </c>
    </row>
    <row r="12" spans="1:17" x14ac:dyDescent="0.25">
      <c r="A12" s="130" t="s">
        <v>165</v>
      </c>
      <c r="B12" s="33">
        <f>Черн_кон.рас.!D10</f>
        <v>246372.76850000001</v>
      </c>
      <c r="C12" s="33">
        <f>Черн_кон.рас.!G10</f>
        <v>91829.079230000003</v>
      </c>
      <c r="D12" s="33">
        <f>Черн_кон.рас.!J10</f>
        <v>130254.31327</v>
      </c>
      <c r="E12" s="33">
        <f>Черн_кон.рас.!M10</f>
        <v>22818.400000000001</v>
      </c>
      <c r="F12" s="33">
        <f>Черн_кон.рас.!P10</f>
        <v>1470.9760000000001</v>
      </c>
      <c r="G12" s="33">
        <f>Черн_кон.рас.!S10</f>
        <v>246198.78196000002</v>
      </c>
      <c r="H12" s="33">
        <f>Черн_кон.рас.!V10</f>
        <v>87979.108999999997</v>
      </c>
      <c r="I12" s="33">
        <f>Черн_кон.рас.!Y10</f>
        <v>137470.37296000001</v>
      </c>
      <c r="J12" s="33">
        <f>Черн_кон.рас.!AB10</f>
        <v>20742.400000000001</v>
      </c>
      <c r="K12" s="33">
        <f>Черн_кон.рас.!AE10</f>
        <v>6.9</v>
      </c>
      <c r="L12" s="33">
        <f t="shared" si="0"/>
        <v>-7.0619225111300921E-2</v>
      </c>
      <c r="M12" s="33">
        <f t="shared" si="0"/>
        <v>-4.1925392939606496</v>
      </c>
      <c r="N12" s="33">
        <f t="shared" si="0"/>
        <v>5.5399775322925962</v>
      </c>
      <c r="O12" s="33">
        <f t="shared" si="0"/>
        <v>-9.0979209760544109</v>
      </c>
      <c r="P12" s="46">
        <f t="shared" si="0"/>
        <v>-99.53092368604247</v>
      </c>
    </row>
    <row r="13" spans="1:17" x14ac:dyDescent="0.25">
      <c r="A13" s="130" t="s">
        <v>166</v>
      </c>
      <c r="B13" s="33">
        <f>Черн_кон.рас.!D11</f>
        <v>378457.19662</v>
      </c>
      <c r="C13" s="33">
        <f>Черн_кон.рас.!G11</f>
        <v>134588.99938999998</v>
      </c>
      <c r="D13" s="33">
        <f>Черн_кон.рас.!J11</f>
        <v>200842.45522999999</v>
      </c>
      <c r="E13" s="33">
        <f>Черн_кон.рас.!M11</f>
        <v>40811.9</v>
      </c>
      <c r="F13" s="33">
        <f>Черн_кон.рас.!P11</f>
        <v>2213.8420000000001</v>
      </c>
      <c r="G13" s="33">
        <f>Черн_кон.рас.!S11</f>
        <v>327592.20222000004</v>
      </c>
      <c r="H13" s="33">
        <f>Черн_кон.рас.!V11</f>
        <v>80206.474549999999</v>
      </c>
      <c r="I13" s="33">
        <f>Черн_кон.рас.!Y11</f>
        <v>198299.16566999999</v>
      </c>
      <c r="J13" s="33">
        <f>Черн_кон.рас.!AB11</f>
        <v>49073.4</v>
      </c>
      <c r="K13" s="33">
        <f>Черн_кон.рас.!AE11</f>
        <v>13.162000000000001</v>
      </c>
      <c r="L13" s="33">
        <f t="shared" si="0"/>
        <v>-13.440091734091752</v>
      </c>
      <c r="M13" s="33">
        <f t="shared" si="0"/>
        <v>-40.40636685500214</v>
      </c>
      <c r="N13" s="33">
        <f t="shared" si="0"/>
        <v>-1.2663107295155811</v>
      </c>
      <c r="O13" s="33">
        <f t="shared" si="0"/>
        <v>20.242870339288288</v>
      </c>
      <c r="P13" s="46">
        <f t="shared" si="0"/>
        <v>-99.405467960224797</v>
      </c>
    </row>
    <row r="14" spans="1:17" x14ac:dyDescent="0.25">
      <c r="A14" s="130" t="s">
        <v>167</v>
      </c>
      <c r="B14" s="33">
        <f>Черн_кон.рас.!D12</f>
        <v>349559.01402999996</v>
      </c>
      <c r="C14" s="33">
        <f>Черн_кон.рас.!G12</f>
        <v>128029.76877</v>
      </c>
      <c r="D14" s="33">
        <f>Черн_кон.рас.!J12</f>
        <v>171694.88725999999</v>
      </c>
      <c r="E14" s="33">
        <f>Черн_кон.рас.!M12</f>
        <v>44001.2</v>
      </c>
      <c r="F14" s="33">
        <f>Черн_кон.рас.!P12</f>
        <v>5833.1580000000004</v>
      </c>
      <c r="G14" s="33">
        <f>Черн_кон.рас.!S12</f>
        <v>303353.08094000001</v>
      </c>
      <c r="H14" s="33">
        <f>Черн_кон.рас.!V12</f>
        <v>84309.859530000002</v>
      </c>
      <c r="I14" s="33">
        <f>Черн_кон.рас.!Y12</f>
        <v>171152.57141</v>
      </c>
      <c r="J14" s="33">
        <f>Черн_кон.рас.!AB12</f>
        <v>47792.9</v>
      </c>
      <c r="K14" s="33">
        <f>Черн_кон.рас.!AE12</f>
        <v>97.75</v>
      </c>
      <c r="L14" s="33">
        <f t="shared" si="0"/>
        <v>-13.218349759401278</v>
      </c>
      <c r="M14" s="33">
        <f t="shared" si="0"/>
        <v>-34.148237288892503</v>
      </c>
      <c r="N14" s="33">
        <f t="shared" si="0"/>
        <v>-0.31586022079898157</v>
      </c>
      <c r="O14" s="33">
        <f t="shared" si="0"/>
        <v>8.6172649836822757</v>
      </c>
      <c r="P14" s="46">
        <f t="shared" si="0"/>
        <v>-98.324235345588107</v>
      </c>
    </row>
    <row r="15" spans="1:17" x14ac:dyDescent="0.25">
      <c r="A15" s="130" t="s">
        <v>168</v>
      </c>
      <c r="B15" s="33">
        <f>Черн_кон.рас.!D13</f>
        <v>525477.03495</v>
      </c>
      <c r="C15" s="33">
        <f>Черн_кон.рас.!G13</f>
        <v>257360.56990999999</v>
      </c>
      <c r="D15" s="33">
        <f>Черн_кон.рас.!J13</f>
        <v>211944.41503999999</v>
      </c>
      <c r="E15" s="33">
        <f>Черн_кон.рас.!M13</f>
        <v>53141.4</v>
      </c>
      <c r="F15" s="33">
        <f>Черн_кон.рас.!P13</f>
        <v>3030.65</v>
      </c>
      <c r="G15" s="33">
        <f>Черн_кон.рас.!S13</f>
        <v>485232.35612999997</v>
      </c>
      <c r="H15" s="33">
        <f>Черн_кон.рас.!V13</f>
        <v>189835.18566999998</v>
      </c>
      <c r="I15" s="33">
        <f>Черн_кон.рас.!Y13</f>
        <v>226784.99146000002</v>
      </c>
      <c r="J15" s="33">
        <f>Черн_кон.рас.!AB13</f>
        <v>64272.6</v>
      </c>
      <c r="K15" s="33">
        <f>Черн_кон.рас.!AE13</f>
        <v>4339.5789999999997</v>
      </c>
      <c r="L15" s="33">
        <f t="shared" si="0"/>
        <v>-7.6586941280562968</v>
      </c>
      <c r="M15" s="33">
        <f t="shared" si="0"/>
        <v>-26.237657254028434</v>
      </c>
      <c r="N15" s="33">
        <f t="shared" si="0"/>
        <v>7.002107801330439</v>
      </c>
      <c r="O15" s="33">
        <f t="shared" si="0"/>
        <v>20.946380787860306</v>
      </c>
      <c r="P15" s="46">
        <f t="shared" si="0"/>
        <v>43.189711778001424</v>
      </c>
    </row>
    <row r="16" spans="1:17" x14ac:dyDescent="0.25">
      <c r="A16" s="130" t="s">
        <v>169</v>
      </c>
      <c r="B16" s="33">
        <f>Черн_кон.рас.!D14</f>
        <v>294869.18235000002</v>
      </c>
      <c r="C16" s="33">
        <f>Черн_кон.рас.!G14</f>
        <v>86004.598310000001</v>
      </c>
      <c r="D16" s="33">
        <f>Черн_кон.рас.!J14</f>
        <v>164728.33703999998</v>
      </c>
      <c r="E16" s="33">
        <f>Черн_кон.рас.!M14</f>
        <v>41062</v>
      </c>
      <c r="F16" s="33">
        <f>Черн_кон.рас.!P14</f>
        <v>3074.2469999999998</v>
      </c>
      <c r="G16" s="33">
        <f>Черн_кон.рас.!S14</f>
        <v>271512.27713</v>
      </c>
      <c r="H16" s="33">
        <f>Черн_кон.рас.!V14</f>
        <v>73486.08425</v>
      </c>
      <c r="I16" s="33">
        <f>Черн_кон.рас.!Y14</f>
        <v>164905.09287999998</v>
      </c>
      <c r="J16" s="33">
        <f>Черн_кон.рас.!AB14</f>
        <v>32621.1</v>
      </c>
      <c r="K16" s="33">
        <f>Черн_кон.рас.!AE14</f>
        <v>500</v>
      </c>
      <c r="L16" s="33">
        <f t="shared" si="0"/>
        <v>-7.9211076023116362</v>
      </c>
      <c r="M16" s="33">
        <f t="shared" si="0"/>
        <v>-14.555633426572783</v>
      </c>
      <c r="N16" s="33">
        <f t="shared" si="0"/>
        <v>0.1073014170944333</v>
      </c>
      <c r="O16" s="33">
        <f t="shared" si="0"/>
        <v>-20.556475573522974</v>
      </c>
      <c r="P16" s="46">
        <f t="shared" si="0"/>
        <v>-83.735854666199558</v>
      </c>
    </row>
    <row r="17" spans="1:17" x14ac:dyDescent="0.25">
      <c r="A17" s="130" t="s">
        <v>170</v>
      </c>
      <c r="B17" s="33">
        <f>Черн_кон.рас.!D15</f>
        <v>321480.22642000002</v>
      </c>
      <c r="C17" s="33">
        <f>Черн_кон.рас.!G15</f>
        <v>144106.31496000002</v>
      </c>
      <c r="D17" s="33">
        <f>Черн_кон.рас.!J15</f>
        <v>151078.04046000002</v>
      </c>
      <c r="E17" s="33">
        <f>Черн_кон.рас.!M15</f>
        <v>21860.5</v>
      </c>
      <c r="F17" s="33">
        <f>Черн_кон.рас.!P15</f>
        <v>4435.3710000000001</v>
      </c>
      <c r="G17" s="33">
        <f>Черн_кон.рас.!S15</f>
        <v>439460.19065</v>
      </c>
      <c r="H17" s="33">
        <f>Черн_кон.рас.!V15</f>
        <v>259451.05788000001</v>
      </c>
      <c r="I17" s="33">
        <f>Черн_кон.рас.!Y15</f>
        <v>153244.16297</v>
      </c>
      <c r="J17" s="33">
        <f>Черн_кон.рас.!AB15</f>
        <v>25230.799999999999</v>
      </c>
      <c r="K17" s="33">
        <f>Черн_кон.рас.!AE15</f>
        <v>1534.1698000000001</v>
      </c>
      <c r="L17" s="33">
        <f t="shared" si="0"/>
        <v>36.698980072218887</v>
      </c>
      <c r="M17" s="33">
        <f t="shared" si="0"/>
        <v>80.04142146859877</v>
      </c>
      <c r="N17" s="33">
        <f t="shared" si="0"/>
        <v>1.4337772077296052</v>
      </c>
      <c r="O17" s="33">
        <f t="shared" si="0"/>
        <v>15.417305185151307</v>
      </c>
      <c r="P17" s="46">
        <f t="shared" si="0"/>
        <v>-65.410564302287227</v>
      </c>
    </row>
    <row r="18" spans="1:17" x14ac:dyDescent="0.25">
      <c r="A18" s="130" t="s">
        <v>171</v>
      </c>
      <c r="B18" s="33">
        <f>Черн_кон.рас.!D16</f>
        <v>276349.93319000001</v>
      </c>
      <c r="C18" s="33">
        <f>Черн_кон.рас.!G16</f>
        <v>98395.464659999998</v>
      </c>
      <c r="D18" s="33">
        <f>Черн_кон.рас.!J16</f>
        <v>173722.66453000001</v>
      </c>
      <c r="E18" s="33">
        <f>Черн_кон.рас.!M16</f>
        <v>1831.7</v>
      </c>
      <c r="F18" s="33">
        <f>Черн_кон.рас.!P16</f>
        <v>2400.1039999999998</v>
      </c>
      <c r="G18" s="33">
        <f>Черн_кон.рас.!S16</f>
        <v>291324.69026999996</v>
      </c>
      <c r="H18" s="33">
        <f>Черн_кон.рас.!V16</f>
        <v>106037.49172000001</v>
      </c>
      <c r="I18" s="33">
        <f>Черн_кон.рас.!Y16</f>
        <v>182860.94855</v>
      </c>
      <c r="J18" s="33">
        <f>Черн_кон.рас.!AB16</f>
        <v>2406.8000000000002</v>
      </c>
      <c r="K18" s="33">
        <f>Черн_кон.рас.!AE16</f>
        <v>19.45</v>
      </c>
      <c r="L18" s="33">
        <f t="shared" si="0"/>
        <v>5.41876631093821</v>
      </c>
      <c r="M18" s="33">
        <f t="shared" si="0"/>
        <v>7.7666456339289738</v>
      </c>
      <c r="N18" s="33">
        <f t="shared" si="0"/>
        <v>5.2602716201269715</v>
      </c>
      <c r="O18" s="33">
        <f t="shared" si="0"/>
        <v>31.397062837800945</v>
      </c>
      <c r="P18" s="46">
        <f t="shared" si="0"/>
        <v>-99.189618449867169</v>
      </c>
    </row>
    <row r="19" spans="1:17" ht="26.4" x14ac:dyDescent="0.25">
      <c r="A19" s="130" t="s">
        <v>172</v>
      </c>
      <c r="B19" s="33">
        <f>Черн_кон.рас.!D17</f>
        <v>227929.82709000001</v>
      </c>
      <c r="C19" s="33">
        <f>Черн_кон.рас.!G17</f>
        <v>78347.94</v>
      </c>
      <c r="D19" s="33">
        <f>Черн_кон.рас.!J17</f>
        <v>115647.52509000001</v>
      </c>
      <c r="E19" s="33">
        <f>Черн_кон.рас.!M17</f>
        <v>33198</v>
      </c>
      <c r="F19" s="33">
        <f>Черн_кон.рас.!P17</f>
        <v>736.36199999999997</v>
      </c>
      <c r="G19" s="33">
        <f>Черн_кон.рас.!S17</f>
        <v>236547.91172</v>
      </c>
      <c r="H19" s="33">
        <f>Черн_кон.рас.!V17</f>
        <v>81794.494609999994</v>
      </c>
      <c r="I19" s="33">
        <f>Черн_кон.рас.!Y17</f>
        <v>114273.19128</v>
      </c>
      <c r="J19" s="33">
        <f>Черн_кон.рас.!AB17</f>
        <v>37108.199999999997</v>
      </c>
      <c r="K19" s="33">
        <f>Черн_кон.рас.!AE17</f>
        <v>3372.02583</v>
      </c>
      <c r="L19" s="33">
        <f t="shared" si="0"/>
        <v>3.7810253883959888</v>
      </c>
      <c r="M19" s="33">
        <f t="shared" si="0"/>
        <v>4.3990366689921814</v>
      </c>
      <c r="N19" s="33">
        <f t="shared" si="0"/>
        <v>-1.1883815143734893</v>
      </c>
      <c r="O19" s="33">
        <f t="shared" si="0"/>
        <v>11.778420386770279</v>
      </c>
      <c r="P19" s="360" t="s">
        <v>418</v>
      </c>
      <c r="Q19" s="220">
        <f>K19/F19</f>
        <v>4.5793045132692889</v>
      </c>
    </row>
    <row r="20" spans="1:17" ht="26.4" x14ac:dyDescent="0.25">
      <c r="A20" s="130" t="s">
        <v>173</v>
      </c>
      <c r="B20" s="33">
        <f>Черн_кон.рас.!D18</f>
        <v>247027.41028000001</v>
      </c>
      <c r="C20" s="33">
        <f>Черн_кон.рас.!G18</f>
        <v>115052.12973999999</v>
      </c>
      <c r="D20" s="33">
        <f>Черн_кон.рас.!J18</f>
        <v>130981.37854000001</v>
      </c>
      <c r="E20" s="33">
        <f>Черн_кон.рас.!M18</f>
        <v>0</v>
      </c>
      <c r="F20" s="33">
        <f>Черн_кон.рас.!P18</f>
        <v>993.90200000000004</v>
      </c>
      <c r="G20" s="33">
        <f>Черн_кон.рас.!S18</f>
        <v>226968.13115</v>
      </c>
      <c r="H20" s="33">
        <f>Черн_кон.рас.!V18</f>
        <v>88056.245479999998</v>
      </c>
      <c r="I20" s="33">
        <f>Черн_кон.рас.!Y18</f>
        <v>136474.77566999997</v>
      </c>
      <c r="J20" s="33">
        <f>Черн_кон.рас.!AB18</f>
        <v>0</v>
      </c>
      <c r="K20" s="33">
        <f>Черн_кон.рас.!AE18</f>
        <v>2437.11</v>
      </c>
      <c r="L20" s="33">
        <f t="shared" si="0"/>
        <v>-8.1202645112391565</v>
      </c>
      <c r="M20" s="33">
        <f t="shared" si="0"/>
        <v>-23.464045664349285</v>
      </c>
      <c r="N20" s="33">
        <f t="shared" si="0"/>
        <v>4.1940290988175377</v>
      </c>
      <c r="O20" s="33"/>
      <c r="P20" s="360" t="s">
        <v>421</v>
      </c>
      <c r="Q20" s="220">
        <f>K20/F20</f>
        <v>2.4520626782117354</v>
      </c>
    </row>
    <row r="21" spans="1:17" ht="26.4" x14ac:dyDescent="0.25">
      <c r="A21" s="130" t="s">
        <v>174</v>
      </c>
      <c r="B21" s="33">
        <f>Черн_кон.рас.!D19</f>
        <v>323822.81585000001</v>
      </c>
      <c r="C21" s="33">
        <f>Черн_кон.рас.!G19</f>
        <v>65888.320189999999</v>
      </c>
      <c r="D21" s="33">
        <f>Черн_кон.рас.!J19</f>
        <v>229744.94544000001</v>
      </c>
      <c r="E21" s="33">
        <f>Черн_кон.рас.!M19</f>
        <v>27518.7</v>
      </c>
      <c r="F21" s="33">
        <f>Черн_кон.рас.!P19</f>
        <v>670.85021999999992</v>
      </c>
      <c r="G21" s="33">
        <f>Черн_кон.рас.!S19</f>
        <v>333856.46747000003</v>
      </c>
      <c r="H21" s="33">
        <f>Черн_кон.рас.!V19</f>
        <v>67255.17134999999</v>
      </c>
      <c r="I21" s="33">
        <f>Черн_кон.рас.!Y19</f>
        <v>219159.59612</v>
      </c>
      <c r="J21" s="33">
        <f>Черн_кон.рас.!AB19</f>
        <v>42833.1</v>
      </c>
      <c r="K21" s="33">
        <f>Черн_кон.рас.!AE19</f>
        <v>4608.6000000000004</v>
      </c>
      <c r="L21" s="33">
        <f t="shared" si="0"/>
        <v>3.0985005159882775</v>
      </c>
      <c r="M21" s="33">
        <f t="shared" si="0"/>
        <v>2.0744969002980298</v>
      </c>
      <c r="N21" s="33">
        <f t="shared" si="0"/>
        <v>-4.6074351275616863</v>
      </c>
      <c r="O21" s="33">
        <f t="shared" si="0"/>
        <v>55.650884671150891</v>
      </c>
      <c r="P21" s="360" t="s">
        <v>424</v>
      </c>
      <c r="Q21" s="220">
        <f>K21/F21</f>
        <v>6.8697898019620549</v>
      </c>
    </row>
    <row r="22" spans="1:17" x14ac:dyDescent="0.25">
      <c r="A22" s="130" t="s">
        <v>175</v>
      </c>
      <c r="B22" s="33">
        <f>Черн_кон.рас.!D20</f>
        <v>432424.64833</v>
      </c>
      <c r="C22" s="33">
        <f>Черн_кон.рас.!G20</f>
        <v>62160.826959999999</v>
      </c>
      <c r="D22" s="33">
        <f>Черн_кон.рас.!J20</f>
        <v>294288.41937000002</v>
      </c>
      <c r="E22" s="33">
        <f>Черн_кон.рас.!M20</f>
        <v>67954.8</v>
      </c>
      <c r="F22" s="33">
        <f>Черн_кон.рас.!P20</f>
        <v>8020.6019999999999</v>
      </c>
      <c r="G22" s="33">
        <f>Черн_кон.рас.!S20</f>
        <v>403325.59219</v>
      </c>
      <c r="H22" s="33">
        <f>Черн_кон.рас.!V20</f>
        <v>30072.08394</v>
      </c>
      <c r="I22" s="33">
        <f>Черн_кон.рас.!Y20</f>
        <v>294398.09224999999</v>
      </c>
      <c r="J22" s="33">
        <f>Черн_кон.рас.!AB20</f>
        <v>77294</v>
      </c>
      <c r="K22" s="33">
        <f>Черн_кон.рас.!AE20</f>
        <v>1561.4159999999999</v>
      </c>
      <c r="L22" s="33">
        <f t="shared" si="0"/>
        <v>-6.7292778643352023</v>
      </c>
      <c r="M22" s="33">
        <f t="shared" si="0"/>
        <v>-51.62213018924097</v>
      </c>
      <c r="N22" s="33">
        <f t="shared" si="0"/>
        <v>3.7267140934304166E-2</v>
      </c>
      <c r="O22" s="33">
        <f t="shared" si="0"/>
        <v>13.743252868082905</v>
      </c>
      <c r="P22" s="46">
        <f t="shared" si="0"/>
        <v>-80.532433849728491</v>
      </c>
    </row>
    <row r="23" spans="1:17" ht="26.4" x14ac:dyDescent="0.25">
      <c r="A23" s="130" t="s">
        <v>176</v>
      </c>
      <c r="B23" s="33">
        <f>Черн_кон.рас.!D21</f>
        <v>619912.98069000011</v>
      </c>
      <c r="C23" s="33">
        <f>Черн_кон.рас.!G21</f>
        <v>198743.36</v>
      </c>
      <c r="D23" s="33">
        <f>Черн_кон.рас.!J21</f>
        <v>333683.56319000002</v>
      </c>
      <c r="E23" s="33">
        <f>Черн_кон.рас.!M21</f>
        <v>86712.1</v>
      </c>
      <c r="F23" s="33">
        <f>Черн_кон.рас.!P21</f>
        <v>773.95749999999998</v>
      </c>
      <c r="G23" s="33">
        <f>Черн_кон.рас.!S21</f>
        <v>631422.50315999996</v>
      </c>
      <c r="H23" s="33">
        <f>Черн_кон.рас.!V21</f>
        <v>202938.19487000001</v>
      </c>
      <c r="I23" s="33">
        <f>Черн_кон.рас.!Y21</f>
        <v>336467.86529000005</v>
      </c>
      <c r="J23" s="33">
        <f>Черн_кон.рас.!AB21</f>
        <v>85501.9</v>
      </c>
      <c r="K23" s="33">
        <f>Черн_кон.рас.!AE21</f>
        <v>6514.5429999999997</v>
      </c>
      <c r="L23" s="33">
        <f t="shared" si="0"/>
        <v>1.8566351776000971</v>
      </c>
      <c r="M23" s="33">
        <f t="shared" si="0"/>
        <v>2.1106792548943645</v>
      </c>
      <c r="N23" s="33">
        <f t="shared" si="0"/>
        <v>0.83441391999721759</v>
      </c>
      <c r="O23" s="33">
        <f t="shared" si="0"/>
        <v>-1.3956529711539787</v>
      </c>
      <c r="P23" s="360" t="s">
        <v>419</v>
      </c>
      <c r="Q23" s="220">
        <f>K23/F23</f>
        <v>8.4171844061204908</v>
      </c>
    </row>
    <row r="24" spans="1:17" x14ac:dyDescent="0.25">
      <c r="A24" s="130" t="s">
        <v>177</v>
      </c>
      <c r="B24" s="33">
        <f>Черн_кон.рас.!D22</f>
        <v>586880.83059999999</v>
      </c>
      <c r="C24" s="33">
        <f>Черн_кон.рас.!G22</f>
        <v>88286.444680000001</v>
      </c>
      <c r="D24" s="33">
        <f>Черн_кон.рас.!J22</f>
        <v>414806.50222000002</v>
      </c>
      <c r="E24" s="33">
        <f>Черн_кон.рас.!M22</f>
        <v>81042.600000000006</v>
      </c>
      <c r="F24" s="33">
        <f>Черн_кон.рас.!P22</f>
        <v>2745.2837000000004</v>
      </c>
      <c r="G24" s="33">
        <f>Черн_кон.рас.!S22</f>
        <v>597500.23707999999</v>
      </c>
      <c r="H24" s="33">
        <f>Черн_кон.рас.!V22</f>
        <v>92025.620880000002</v>
      </c>
      <c r="I24" s="33">
        <f>Черн_кон.рас.!Y22</f>
        <v>415573.09519999998</v>
      </c>
      <c r="J24" s="33">
        <f>Черн_кон.рас.!AB22</f>
        <v>88611.1</v>
      </c>
      <c r="K24" s="33">
        <f>Черн_кон.рас.!AE22</f>
        <v>1290.421</v>
      </c>
      <c r="L24" s="33">
        <f t="shared" si="0"/>
        <v>1.8094655552377077</v>
      </c>
      <c r="M24" s="33">
        <f t="shared" si="0"/>
        <v>4.2352778091278793</v>
      </c>
      <c r="N24" s="33">
        <f t="shared" si="0"/>
        <v>0.18480736823005373</v>
      </c>
      <c r="O24" s="33">
        <f t="shared" si="0"/>
        <v>9.338915582668875</v>
      </c>
      <c r="P24" s="46">
        <f t="shared" si="0"/>
        <v>-52.994985545574032</v>
      </c>
    </row>
    <row r="25" spans="1:17" x14ac:dyDescent="0.25">
      <c r="A25" s="130" t="s">
        <v>178</v>
      </c>
      <c r="B25" s="33">
        <f>Черн_кон.рас.!D23</f>
        <v>594342.1936900001</v>
      </c>
      <c r="C25" s="33">
        <f>Черн_кон.рас.!G23</f>
        <v>347163.19676999998</v>
      </c>
      <c r="D25" s="33">
        <f>Черн_кон.рас.!J23</f>
        <v>235070.6648</v>
      </c>
      <c r="E25" s="33">
        <f>Черн_кон.рас.!M23</f>
        <v>6872.5</v>
      </c>
      <c r="F25" s="33">
        <f>Черн_кон.рас.!P23</f>
        <v>5235.83212</v>
      </c>
      <c r="G25" s="33">
        <f>Черн_кон.рас.!S23</f>
        <v>391668.85891000001</v>
      </c>
      <c r="H25" s="33">
        <f>Черн_кон.рас.!V23</f>
        <v>146150.73737000002</v>
      </c>
      <c r="I25" s="33">
        <f>Черн_кон.рас.!Y23</f>
        <v>245019.58753999998</v>
      </c>
      <c r="J25" s="33">
        <f>Черн_кон.рас.!AB23</f>
        <v>0</v>
      </c>
      <c r="K25" s="33">
        <f>Черн_кон.рас.!AE23</f>
        <v>498.53399999999999</v>
      </c>
      <c r="L25" s="33">
        <f t="shared" si="0"/>
        <v>-34.100445321186712</v>
      </c>
      <c r="M25" s="33">
        <f t="shared" si="0"/>
        <v>-57.901431162697023</v>
      </c>
      <c r="N25" s="33">
        <f t="shared" si="0"/>
        <v>4.2323114832149002</v>
      </c>
      <c r="O25" s="33">
        <f t="shared" si="0"/>
        <v>-100</v>
      </c>
      <c r="P25" s="46">
        <f t="shared" si="0"/>
        <v>-90.478418929902588</v>
      </c>
    </row>
    <row r="26" spans="1:17" x14ac:dyDescent="0.25">
      <c r="A26" s="130" t="s">
        <v>179</v>
      </c>
      <c r="B26" s="33">
        <f>Черн_кон.рас.!D24</f>
        <v>600007.36675000004</v>
      </c>
      <c r="C26" s="33">
        <f>Черн_кон.рас.!G24</f>
        <v>186126.37605000002</v>
      </c>
      <c r="D26" s="33">
        <f>Черн_кон.рас.!J24</f>
        <v>359902.91816</v>
      </c>
      <c r="E26" s="33">
        <f>Черн_кон.рас.!M24</f>
        <v>48821</v>
      </c>
      <c r="F26" s="33">
        <f>Черн_кон.рас.!P24</f>
        <v>5157.0725400000001</v>
      </c>
      <c r="G26" s="33">
        <f>Черн_кон.рас.!S24</f>
        <v>568753.44666999998</v>
      </c>
      <c r="H26" s="33">
        <f>Черн_кон.рас.!V24</f>
        <v>125553.09091</v>
      </c>
      <c r="I26" s="33">
        <f>Черн_кон.рас.!Y24</f>
        <v>381408.57791000005</v>
      </c>
      <c r="J26" s="33">
        <f>Черн_кон.рас.!AB24</f>
        <v>56843.6</v>
      </c>
      <c r="K26" s="33">
        <f>Черн_кон.рас.!AE24</f>
        <v>4948.17785</v>
      </c>
      <c r="L26" s="33">
        <f t="shared" si="0"/>
        <v>-5.2089227252808712</v>
      </c>
      <c r="M26" s="33">
        <f t="shared" si="0"/>
        <v>-32.544170485395327</v>
      </c>
      <c r="N26" s="33">
        <f t="shared" si="0"/>
        <v>5.9754057732978509</v>
      </c>
      <c r="O26" s="33">
        <f t="shared" si="0"/>
        <v>16.43268265705332</v>
      </c>
      <c r="P26" s="46">
        <f t="shared" si="0"/>
        <v>-4.0506447869356492</v>
      </c>
    </row>
    <row r="27" spans="1:17" x14ac:dyDescent="0.25">
      <c r="A27" s="130" t="s">
        <v>180</v>
      </c>
      <c r="B27" s="33">
        <f>Черн_кон.рас.!D25</f>
        <v>640149.09467999998</v>
      </c>
      <c r="C27" s="33">
        <f>Черн_кон.рас.!G25</f>
        <v>204862.06510000001</v>
      </c>
      <c r="D27" s="33">
        <f>Черн_кон.рас.!J25</f>
        <v>385422.15645999997</v>
      </c>
      <c r="E27" s="33">
        <f>Черн_кон.рас.!M25</f>
        <v>46820.9</v>
      </c>
      <c r="F27" s="33">
        <f>Черн_кон.рас.!P25</f>
        <v>3043.9731200000001</v>
      </c>
      <c r="G27" s="33">
        <f>Черн_кон.рас.!S25</f>
        <v>542642.40255</v>
      </c>
      <c r="H27" s="33">
        <f>Черн_кон.рас.!V25</f>
        <v>134474.92990000002</v>
      </c>
      <c r="I27" s="33">
        <f>Черн_кон.рас.!Y25</f>
        <v>347319.5306</v>
      </c>
      <c r="J27" s="33">
        <f>Черн_кон.рас.!AB25</f>
        <v>59621</v>
      </c>
      <c r="K27" s="33">
        <f>Черн_кон.рас.!AE25</f>
        <v>1226.9420500000001</v>
      </c>
      <c r="L27" s="33">
        <f t="shared" si="0"/>
        <v>-15.231872221695781</v>
      </c>
      <c r="M27" s="33">
        <f t="shared" si="0"/>
        <v>-34.358305997570454</v>
      </c>
      <c r="N27" s="33">
        <f t="shared" si="0"/>
        <v>-9.8859458963030136</v>
      </c>
      <c r="O27" s="33">
        <f t="shared" si="0"/>
        <v>27.33843219587834</v>
      </c>
      <c r="P27" s="46">
        <f t="shared" si="0"/>
        <v>-59.692743607407408</v>
      </c>
    </row>
    <row r="28" spans="1:17" ht="26.4" x14ac:dyDescent="0.25">
      <c r="A28" s="130" t="s">
        <v>181</v>
      </c>
      <c r="B28" s="33">
        <f>Черн_кон.рас.!D26</f>
        <v>220869.30971</v>
      </c>
      <c r="C28" s="33">
        <f>Черн_кон.рас.!G26</f>
        <v>51017.180939999998</v>
      </c>
      <c r="D28" s="33">
        <f>Черн_кон.рас.!J26</f>
        <v>130628.70177</v>
      </c>
      <c r="E28" s="33">
        <f>Черн_кон.рас.!M26</f>
        <v>39038.699999999997</v>
      </c>
      <c r="F28" s="33">
        <f>Черн_кон.рас.!P26</f>
        <v>184.727</v>
      </c>
      <c r="G28" s="33">
        <f>Черн_кон.рас.!S26</f>
        <v>211202.52065000002</v>
      </c>
      <c r="H28" s="33">
        <f>Черн_кон.рас.!V26</f>
        <v>42325.311999999998</v>
      </c>
      <c r="I28" s="33">
        <f>Черн_кон.рас.!Y26</f>
        <v>125882.00865</v>
      </c>
      <c r="J28" s="33">
        <f>Черн_кон.рас.!AB26</f>
        <v>41378.199999999997</v>
      </c>
      <c r="K28" s="33">
        <f>Черн_кон.рас.!AE26</f>
        <v>1617</v>
      </c>
      <c r="L28" s="33">
        <f t="shared" si="0"/>
        <v>-4.3767008973281207</v>
      </c>
      <c r="M28" s="33">
        <f t="shared" si="0"/>
        <v>-17.037140782479312</v>
      </c>
      <c r="N28" s="33">
        <f t="shared" si="0"/>
        <v>-3.6337290776705231</v>
      </c>
      <c r="O28" s="33">
        <f t="shared" si="0"/>
        <v>5.9927712756828555</v>
      </c>
      <c r="P28" s="360" t="s">
        <v>420</v>
      </c>
      <c r="Q28" s="220">
        <f>K28/F28</f>
        <v>8.7534578053018777</v>
      </c>
    </row>
    <row r="29" spans="1:17" x14ac:dyDescent="0.25">
      <c r="A29" s="130" t="s">
        <v>182</v>
      </c>
      <c r="B29" s="33">
        <f>Черн_кон.рас.!D27</f>
        <v>2684593.34821</v>
      </c>
      <c r="C29" s="33">
        <f>Черн_кон.рас.!G27</f>
        <v>290770.43387000001</v>
      </c>
      <c r="D29" s="33">
        <f>Черн_кон.рас.!J27</f>
        <v>2205457.7100500003</v>
      </c>
      <c r="E29" s="33">
        <f>Черн_кон.рас.!M27</f>
        <v>70868.5</v>
      </c>
      <c r="F29" s="33">
        <f>Черн_кон.рас.!P27</f>
        <v>117496.70429000001</v>
      </c>
      <c r="G29" s="33">
        <f>Черн_кон.рас.!S27</f>
        <v>2379096.6555599999</v>
      </c>
      <c r="H29" s="33">
        <f>Черн_кон.рас.!V27</f>
        <v>112471.56735</v>
      </c>
      <c r="I29" s="33">
        <f>Черн_кон.рас.!Y27</f>
        <v>2261534.2977300002</v>
      </c>
      <c r="J29" s="33">
        <f>Черн_кон.рас.!AB27</f>
        <v>0</v>
      </c>
      <c r="K29" s="33">
        <f>Черн_кон.рас.!AE27</f>
        <v>5090.7904800000006</v>
      </c>
      <c r="L29" s="33">
        <f t="shared" si="0"/>
        <v>-11.379626372601109</v>
      </c>
      <c r="M29" s="33">
        <f t="shared" si="0"/>
        <v>-61.31946228058225</v>
      </c>
      <c r="N29" s="33">
        <f t="shared" si="0"/>
        <v>2.5426281095514014</v>
      </c>
      <c r="O29" s="33">
        <f t="shared" si="0"/>
        <v>-100</v>
      </c>
      <c r="P29" s="46">
        <f t="shared" si="0"/>
        <v>-95.667290831038855</v>
      </c>
    </row>
    <row r="30" spans="1:17" x14ac:dyDescent="0.25">
      <c r="A30" s="130" t="s">
        <v>183</v>
      </c>
      <c r="B30" s="33">
        <f>Черн_кон.рас.!D28</f>
        <v>2102821.6592199998</v>
      </c>
      <c r="C30" s="33">
        <f>Черн_кон.рас.!G28</f>
        <v>561647.50828999991</v>
      </c>
      <c r="D30" s="33">
        <f>Черн_кон.рас.!J28</f>
        <v>1536937.6444100002</v>
      </c>
      <c r="E30" s="33">
        <f>Черн_кон.рас.!M28</f>
        <v>0</v>
      </c>
      <c r="F30" s="33">
        <f>Черн_кон.рас.!P28</f>
        <v>4236.5065199999999</v>
      </c>
      <c r="G30" s="33">
        <f>Черн_кон.рас.!S28</f>
        <v>2276627.1944200001</v>
      </c>
      <c r="H30" s="33">
        <f>Черн_кон.рас.!V28</f>
        <v>701946.75173999998</v>
      </c>
      <c r="I30" s="33">
        <f>Черн_кон.рас.!Y28</f>
        <v>1571467.7439600001</v>
      </c>
      <c r="J30" s="33">
        <f>Черн_кон.рас.!AB28</f>
        <v>0</v>
      </c>
      <c r="K30" s="33">
        <f>Черн_кон.рас.!AE28</f>
        <v>3212.6987200000003</v>
      </c>
      <c r="L30" s="33">
        <f t="shared" si="0"/>
        <v>8.265348344589043</v>
      </c>
      <c r="M30" s="33">
        <f t="shared" si="0"/>
        <v>24.979945852009052</v>
      </c>
      <c r="N30" s="33">
        <f t="shared" si="0"/>
        <v>2.2466818790983041</v>
      </c>
      <c r="O30" s="33"/>
      <c r="P30" s="46">
        <f t="shared" si="0"/>
        <v>-24.166321830657765</v>
      </c>
    </row>
    <row r="31" spans="1:17" x14ac:dyDescent="0.25">
      <c r="A31" s="130" t="s">
        <v>184</v>
      </c>
      <c r="B31" s="33">
        <f>Черн_кон.рас.!D29</f>
        <v>733559.93724</v>
      </c>
      <c r="C31" s="33">
        <f>Черн_кон.рас.!G29</f>
        <v>106843.686</v>
      </c>
      <c r="D31" s="33">
        <f>Черн_кон.рас.!J29</f>
        <v>575082.84660000005</v>
      </c>
      <c r="E31" s="33">
        <f>Черн_кон.рас.!M29</f>
        <v>42973.9</v>
      </c>
      <c r="F31" s="33">
        <f>Черн_кон.рас.!P29</f>
        <v>8659.504640000001</v>
      </c>
      <c r="G31" s="33">
        <f>Черн_кон.рас.!S29</f>
        <v>779879.05651999998</v>
      </c>
      <c r="H31" s="33">
        <f>Черн_кон.рас.!V29</f>
        <v>64891.571499999998</v>
      </c>
      <c r="I31" s="33">
        <f>Черн_кон.рас.!Y29</f>
        <v>595262.33422000008</v>
      </c>
      <c r="J31" s="33">
        <f>Черн_кон.рас.!AB29</f>
        <v>117890.7</v>
      </c>
      <c r="K31" s="33">
        <f>Черн_кон.рас.!AE29</f>
        <v>1834.4508000000001</v>
      </c>
      <c r="L31" s="33">
        <f t="shared" si="0"/>
        <v>6.3142923881959092</v>
      </c>
      <c r="M31" s="33">
        <f t="shared" si="0"/>
        <v>-39.264944958937491</v>
      </c>
      <c r="N31" s="33">
        <f t="shared" si="0"/>
        <v>3.5089705316903377</v>
      </c>
      <c r="O31" s="33">
        <f t="shared" si="0"/>
        <v>174.33093110003978</v>
      </c>
      <c r="P31" s="46">
        <f t="shared" si="0"/>
        <v>-78.815753599503822</v>
      </c>
    </row>
    <row r="32" spans="1:17" x14ac:dyDescent="0.25">
      <c r="A32" s="130" t="s">
        <v>185</v>
      </c>
      <c r="B32" s="33">
        <f>Черн_кон.рас.!D30</f>
        <v>416472.11445999995</v>
      </c>
      <c r="C32" s="33">
        <f>Черн_кон.рас.!G30</f>
        <v>99257.434819999995</v>
      </c>
      <c r="D32" s="33">
        <f>Черн_кон.рас.!J30</f>
        <v>262987.63964000001</v>
      </c>
      <c r="E32" s="33">
        <f>Черн_кон.рас.!M30</f>
        <v>53015.6</v>
      </c>
      <c r="F32" s="33">
        <f>Черн_кон.рас.!P30</f>
        <v>1211.44</v>
      </c>
      <c r="G32" s="33">
        <f>Черн_кон.рас.!S30</f>
        <v>341181.23604000005</v>
      </c>
      <c r="H32" s="33">
        <f>Черн_кон.рас.!V30</f>
        <v>15033.302689999999</v>
      </c>
      <c r="I32" s="33">
        <f>Черн_кон.рас.!Y30</f>
        <v>268404.03334999998</v>
      </c>
      <c r="J32" s="33">
        <f>Черн_кон.рас.!AB30</f>
        <v>57743.9</v>
      </c>
      <c r="K32" s="33">
        <f>Черн_кон.рас.!AE30</f>
        <v>0</v>
      </c>
      <c r="L32" s="33">
        <f t="shared" si="0"/>
        <v>-18.078252013972758</v>
      </c>
      <c r="M32" s="33">
        <f t="shared" si="0"/>
        <v>-84.854230096453335</v>
      </c>
      <c r="N32" s="33">
        <f t="shared" si="0"/>
        <v>2.0595620833794328</v>
      </c>
      <c r="O32" s="33">
        <f t="shared" si="0"/>
        <v>8.9186956292110438</v>
      </c>
      <c r="P32" s="46">
        <f t="shared" si="0"/>
        <v>-100</v>
      </c>
    </row>
    <row r="33" spans="1:18" x14ac:dyDescent="0.25">
      <c r="A33" s="130" t="s">
        <v>186</v>
      </c>
      <c r="B33" s="33">
        <f>Черн_кон.рас.!D31</f>
        <v>334985.28570000001</v>
      </c>
      <c r="C33" s="33">
        <f>Черн_кон.рас.!G31</f>
        <v>32134.16286</v>
      </c>
      <c r="D33" s="33">
        <f>Черн_кон.рас.!J31</f>
        <v>289851.22383999999</v>
      </c>
      <c r="E33" s="33">
        <f>Черн_кон.рас.!M31</f>
        <v>8795.7999999999993</v>
      </c>
      <c r="F33" s="33">
        <f>Черн_кон.рас.!P31</f>
        <v>4204.0990000000002</v>
      </c>
      <c r="G33" s="33">
        <f>Черн_кон.рас.!S31</f>
        <v>328336.89181</v>
      </c>
      <c r="H33" s="33">
        <f>Черн_кон.рас.!V31</f>
        <v>28580.595859999998</v>
      </c>
      <c r="I33" s="33">
        <f>Черн_кон.рас.!Y31</f>
        <v>290317.64395</v>
      </c>
      <c r="J33" s="33">
        <f>Черн_кон.рас.!AB31</f>
        <v>9403</v>
      </c>
      <c r="K33" s="33">
        <f>Черн_кон.рас.!AE31</f>
        <v>35.652000000000001</v>
      </c>
      <c r="L33" s="33">
        <f t="shared" si="0"/>
        <v>-1.9846823648111069</v>
      </c>
      <c r="M33" s="33">
        <f t="shared" si="0"/>
        <v>-11.058532987095219</v>
      </c>
      <c r="N33" s="33">
        <f t="shared" si="0"/>
        <v>0.16091707456700988</v>
      </c>
      <c r="O33" s="33">
        <f t="shared" si="0"/>
        <v>6.9032947543145582</v>
      </c>
      <c r="P33" s="46">
        <f t="shared" si="0"/>
        <v>-99.151970493558792</v>
      </c>
    </row>
    <row r="34" spans="1:18" ht="26.4" x14ac:dyDescent="0.25">
      <c r="A34" s="130" t="s">
        <v>187</v>
      </c>
      <c r="B34" s="33">
        <f>Черн_кон.рас.!D32</f>
        <v>334715.30554000003</v>
      </c>
      <c r="C34" s="33">
        <f>Черн_кон.рас.!G32</f>
        <v>12568.712509999999</v>
      </c>
      <c r="D34" s="33">
        <f>Черн_кон.рас.!J32</f>
        <v>209488.89303000001</v>
      </c>
      <c r="E34" s="33">
        <f>Черн_кон.рас.!M32</f>
        <v>112657.7</v>
      </c>
      <c r="F34" s="33">
        <f>Черн_кон.рас.!P32</f>
        <v>0</v>
      </c>
      <c r="G34" s="33">
        <f>Черн_кон.рас.!S32</f>
        <v>362363.63994000002</v>
      </c>
      <c r="H34" s="33">
        <f>Черн_кон.рас.!V32</f>
        <v>33326.813000000002</v>
      </c>
      <c r="I34" s="33">
        <f>Черн_кон.рас.!Y32</f>
        <v>217466.82694</v>
      </c>
      <c r="J34" s="33">
        <f>Черн_кон.рас.!AB32</f>
        <v>111570</v>
      </c>
      <c r="K34" s="33">
        <f>Черн_кон.рас.!AE32</f>
        <v>0</v>
      </c>
      <c r="L34" s="33">
        <f t="shared" si="0"/>
        <v>8.2602539956739207</v>
      </c>
      <c r="M34" s="361" t="s">
        <v>422</v>
      </c>
      <c r="N34" s="33">
        <f t="shared" si="0"/>
        <v>3.8082849141111836</v>
      </c>
      <c r="O34" s="33">
        <f t="shared" si="0"/>
        <v>-0.9654910405591437</v>
      </c>
      <c r="P34" s="46"/>
      <c r="R34" s="220">
        <f>H34/C34</f>
        <v>2.651569361100774</v>
      </c>
    </row>
    <row r="35" spans="1:18" x14ac:dyDescent="0.25">
      <c r="A35" s="130" t="s">
        <v>188</v>
      </c>
      <c r="B35" s="33">
        <f>Черн_кон.рас.!D33</f>
        <v>4508.53773</v>
      </c>
      <c r="C35" s="33">
        <f>Черн_кон.рас.!G33</f>
        <v>7</v>
      </c>
      <c r="D35" s="33">
        <f>Черн_кон.рас.!J33</f>
        <v>3937.8377300000002</v>
      </c>
      <c r="E35" s="33">
        <f>Черн_кон.рас.!M33</f>
        <v>563.70000000000005</v>
      </c>
      <c r="F35" s="33">
        <f>Черн_кон.рас.!P33</f>
        <v>0</v>
      </c>
      <c r="G35" s="33">
        <f>Черн_кон.рас.!S33</f>
        <v>5087.4226200000003</v>
      </c>
      <c r="H35" s="33">
        <f>Черн_кон.рас.!V33</f>
        <v>0</v>
      </c>
      <c r="I35" s="33">
        <f>Черн_кон.рас.!Y33</f>
        <v>4487.4226200000003</v>
      </c>
      <c r="J35" s="33">
        <f>Черн_кон.рас.!AB33</f>
        <v>600</v>
      </c>
      <c r="K35" s="33">
        <f>Черн_кон.рас.!AE33</f>
        <v>0</v>
      </c>
      <c r="L35" s="33">
        <f t="shared" si="0"/>
        <v>12.839748154885697</v>
      </c>
      <c r="M35" s="33">
        <f t="shared" si="0"/>
        <v>-100</v>
      </c>
      <c r="N35" s="33">
        <f t="shared" si="0"/>
        <v>13.956514404162604</v>
      </c>
      <c r="O35" s="33">
        <f t="shared" si="0"/>
        <v>6.4395955295369731</v>
      </c>
      <c r="P35" s="46"/>
    </row>
    <row r="36" spans="1:18" s="219" customFormat="1" ht="13.8" thickBot="1" x14ac:dyDescent="0.3">
      <c r="A36" s="309" t="s">
        <v>189</v>
      </c>
      <c r="B36" s="310">
        <f>Черн_кон.рас.!D34</f>
        <v>14621261.817790003</v>
      </c>
      <c r="C36" s="310">
        <f>Черн_кон.рас.!G34</f>
        <v>3833614.3275100002</v>
      </c>
      <c r="D36" s="310">
        <f>Черн_кон.рас.!J34</f>
        <v>9537093.0340600014</v>
      </c>
      <c r="E36" s="310">
        <f>Черн_кон.рас.!M34</f>
        <v>1059110.7</v>
      </c>
      <c r="F36" s="310">
        <f>Черн_кон.рас.!P34</f>
        <v>191443.75621999998</v>
      </c>
      <c r="G36" s="310">
        <f>Черн_кон.рас.!S34</f>
        <v>14004559.69901</v>
      </c>
      <c r="H36" s="310">
        <f>Черн_кон.рас.!V34</f>
        <v>3120978.6759699993</v>
      </c>
      <c r="I36" s="310">
        <f>Черн_кон.рас.!Y34</f>
        <v>9698548.3405200019</v>
      </c>
      <c r="J36" s="310">
        <f>Черн_кон.рас.!AB34</f>
        <v>1134562.3999999999</v>
      </c>
      <c r="K36" s="310">
        <f>Черн_кон.рас.!AE34</f>
        <v>50470.282520000008</v>
      </c>
      <c r="L36" s="310">
        <f t="shared" si="0"/>
        <v>-4.2178447145351612</v>
      </c>
      <c r="M36" s="310">
        <f t="shared" si="0"/>
        <v>-18.589132621561077</v>
      </c>
      <c r="N36" s="310">
        <f t="shared" si="0"/>
        <v>1.6929194869274369</v>
      </c>
      <c r="O36" s="310">
        <f t="shared" si="0"/>
        <v>7.1240617246148048</v>
      </c>
      <c r="P36" s="311">
        <f t="shared" si="0"/>
        <v>-73.637018246757833</v>
      </c>
    </row>
    <row r="37" spans="1:18" ht="13.8" hidden="1" thickTop="1" x14ac:dyDescent="0.25">
      <c r="A37" s="192" t="s">
        <v>407</v>
      </c>
      <c r="B37" s="217"/>
      <c r="C37" s="217">
        <f>C36/$B$36%</f>
        <v>26.219449287513335</v>
      </c>
      <c r="D37" s="217">
        <f t="shared" ref="D37:F37" si="1">D36/$B$36%</f>
        <v>65.227564849813547</v>
      </c>
      <c r="E37" s="217">
        <f t="shared" si="1"/>
        <v>7.2436340529198189</v>
      </c>
      <c r="F37" s="217">
        <f t="shared" si="1"/>
        <v>1.3093518097532886</v>
      </c>
      <c r="G37" s="217"/>
      <c r="H37" s="217">
        <f>H36/$G$36%</f>
        <v>22.285446619150942</v>
      </c>
      <c r="I37" s="217">
        <f t="shared" ref="I37:J37" si="2">I36/$G$36%</f>
        <v>69.252790155234976</v>
      </c>
      <c r="J37" s="217">
        <f t="shared" si="2"/>
        <v>8.1013785822927638</v>
      </c>
      <c r="K37" s="217">
        <f>K36/$G$36%</f>
        <v>0.36038464332133069</v>
      </c>
      <c r="L37" s="217"/>
      <c r="M37" s="217">
        <f>H37-C37</f>
        <v>-3.9340026683623925</v>
      </c>
      <c r="N37" s="217">
        <f t="shared" ref="N37:P37" si="3">I37-D37</f>
        <v>4.0252253054214293</v>
      </c>
      <c r="O37" s="217">
        <f t="shared" si="3"/>
        <v>0.85774452937294487</v>
      </c>
      <c r="P37" s="217">
        <f t="shared" si="3"/>
        <v>-0.94896716643195789</v>
      </c>
    </row>
    <row r="38" spans="1:18" ht="20.399999999999999" hidden="1" x14ac:dyDescent="0.25">
      <c r="F38" s="362" t="s">
        <v>427</v>
      </c>
      <c r="G38" s="220">
        <f>'1.1. Конс.'!X31*1000</f>
        <v>14002962.177209996</v>
      </c>
      <c r="K38" s="220">
        <f>(J36-E36)/1000</f>
        <v>75.45169999999996</v>
      </c>
    </row>
    <row r="39" spans="1:18" ht="20.399999999999999" hidden="1" x14ac:dyDescent="0.25">
      <c r="F39" s="362" t="s">
        <v>428</v>
      </c>
      <c r="G39" s="220">
        <f>G38-G36</f>
        <v>-1597.5218000039458</v>
      </c>
      <c r="K39" s="220">
        <f>+K36-F36</f>
        <v>-140973.47369999997</v>
      </c>
    </row>
    <row r="40" spans="1:18" hidden="1" x14ac:dyDescent="0.25">
      <c r="K40" s="220">
        <f>+K36/F36*100-100</f>
        <v>-73.637018246757833</v>
      </c>
    </row>
    <row r="41" spans="1:18" ht="13.8" thickTop="1" x14ac:dyDescent="0.25"/>
    <row r="43" spans="1:18" x14ac:dyDescent="0.25">
      <c r="B43" s="296"/>
      <c r="C43" s="296"/>
    </row>
    <row r="47" spans="1:18" x14ac:dyDescent="0.25">
      <c r="A47" s="297"/>
    </row>
  </sheetData>
  <autoFilter ref="A9:P37"/>
  <mergeCells count="25">
    <mergeCell ref="O4:P4"/>
    <mergeCell ref="H7:H8"/>
    <mergeCell ref="O7:O8"/>
    <mergeCell ref="P7:P8"/>
    <mergeCell ref="I7:I8"/>
    <mergeCell ref="J7:J8"/>
    <mergeCell ref="K7:K8"/>
    <mergeCell ref="M7:M8"/>
    <mergeCell ref="N7:N8"/>
    <mergeCell ref="N1:P1"/>
    <mergeCell ref="A3:P3"/>
    <mergeCell ref="A5:A8"/>
    <mergeCell ref="B5:F5"/>
    <mergeCell ref="G5:K5"/>
    <mergeCell ref="L5:P5"/>
    <mergeCell ref="B6:B8"/>
    <mergeCell ref="C6:F6"/>
    <mergeCell ref="G6:G8"/>
    <mergeCell ref="H6:K6"/>
    <mergeCell ref="L6:L8"/>
    <mergeCell ref="M6:P6"/>
    <mergeCell ref="C7:C8"/>
    <mergeCell ref="D7:D8"/>
    <mergeCell ref="E7:E8"/>
    <mergeCell ref="F7:F8"/>
  </mergeCells>
  <printOptions horizontalCentered="1"/>
  <pageMargins left="0" right="0" top="0.55118110236220474" bottom="0.35433070866141736" header="0.11811023622047245" footer="0.11811023622047245"/>
  <pageSetup paperSize="9" scale="87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zoomScale="115" zoomScaleNormal="115" workbookViewId="0">
      <selection activeCell="C5" sqref="C5"/>
    </sheetView>
  </sheetViews>
  <sheetFormatPr defaultColWidth="9.109375" defaultRowHeight="13.2" x14ac:dyDescent="0.25"/>
  <cols>
    <col min="1" max="1" width="25.6640625" style="301" customWidth="1"/>
    <col min="2" max="2" width="11.5546875" style="302" bestFit="1" customWidth="1"/>
    <col min="3" max="3" width="9.6640625" style="302" bestFit="1" customWidth="1"/>
    <col min="4" max="4" width="9.109375" style="302"/>
    <col min="5" max="5" width="11.33203125" style="302" bestFit="1" customWidth="1"/>
    <col min="6" max="6" width="9.6640625" style="302" bestFit="1" customWidth="1"/>
    <col min="7" max="7" width="9.109375" style="302"/>
    <col min="8" max="8" width="8.5546875" style="302" customWidth="1"/>
    <col min="9" max="9" width="9.109375" style="302" customWidth="1"/>
    <col min="10" max="10" width="9.109375" style="302"/>
    <col min="11" max="12" width="0" style="302" hidden="1" customWidth="1"/>
    <col min="13" max="16384" width="9.109375" style="302"/>
  </cols>
  <sheetData>
    <row r="1" spans="1:12" s="301" customFormat="1" ht="27.75" customHeight="1" x14ac:dyDescent="0.25">
      <c r="H1" s="473" t="s">
        <v>1140</v>
      </c>
      <c r="I1" s="473"/>
      <c r="J1" s="473"/>
    </row>
    <row r="2" spans="1:12" s="301" customFormat="1" ht="49.5" customHeight="1" x14ac:dyDescent="0.25">
      <c r="A2" s="474" t="s">
        <v>384</v>
      </c>
      <c r="B2" s="474"/>
      <c r="C2" s="474"/>
      <c r="D2" s="474"/>
      <c r="E2" s="474"/>
      <c r="F2" s="474"/>
      <c r="G2" s="474"/>
      <c r="H2" s="474"/>
      <c r="I2" s="474"/>
      <c r="J2" s="474"/>
    </row>
    <row r="3" spans="1:12" s="301" customFormat="1" ht="13.8" thickBot="1" x14ac:dyDescent="0.3">
      <c r="I3" s="481" t="s">
        <v>191</v>
      </c>
      <c r="J3" s="481"/>
    </row>
    <row r="4" spans="1:12" s="318" customFormat="1" ht="13.5" customHeight="1" thickTop="1" x14ac:dyDescent="0.25">
      <c r="A4" s="450" t="s">
        <v>192</v>
      </c>
      <c r="B4" s="475" t="s">
        <v>359</v>
      </c>
      <c r="C4" s="475"/>
      <c r="D4" s="475"/>
      <c r="E4" s="475" t="s">
        <v>383</v>
      </c>
      <c r="F4" s="475"/>
      <c r="G4" s="475"/>
      <c r="H4" s="475" t="s">
        <v>425</v>
      </c>
      <c r="I4" s="475"/>
      <c r="J4" s="476"/>
    </row>
    <row r="5" spans="1:12" s="318" customFormat="1" x14ac:dyDescent="0.25">
      <c r="A5" s="451"/>
      <c r="B5" s="477" t="s">
        <v>198</v>
      </c>
      <c r="C5" s="371" t="s">
        <v>8</v>
      </c>
      <c r="D5" s="477" t="s">
        <v>364</v>
      </c>
      <c r="E5" s="477" t="s">
        <v>198</v>
      </c>
      <c r="F5" s="371" t="s">
        <v>8</v>
      </c>
      <c r="G5" s="477" t="s">
        <v>364</v>
      </c>
      <c r="H5" s="477" t="s">
        <v>363</v>
      </c>
      <c r="I5" s="371" t="s">
        <v>8</v>
      </c>
      <c r="J5" s="478" t="s">
        <v>370</v>
      </c>
    </row>
    <row r="6" spans="1:12" s="318" customFormat="1" ht="53.25" customHeight="1" x14ac:dyDescent="0.25">
      <c r="A6" s="451"/>
      <c r="B6" s="477"/>
      <c r="C6" s="371" t="s">
        <v>358</v>
      </c>
      <c r="D6" s="477"/>
      <c r="E6" s="477"/>
      <c r="F6" s="371" t="s">
        <v>358</v>
      </c>
      <c r="G6" s="477"/>
      <c r="H6" s="477"/>
      <c r="I6" s="371" t="s">
        <v>369</v>
      </c>
      <c r="J6" s="478"/>
    </row>
    <row r="7" spans="1:12" s="250" customFormat="1" ht="10.199999999999999" x14ac:dyDescent="0.25">
      <c r="A7" s="226" t="s">
        <v>13</v>
      </c>
      <c r="B7" s="247">
        <v>1</v>
      </c>
      <c r="C7" s="247">
        <v>2</v>
      </c>
      <c r="D7" s="247" t="s">
        <v>365</v>
      </c>
      <c r="E7" s="247">
        <v>4</v>
      </c>
      <c r="F7" s="247">
        <v>5</v>
      </c>
      <c r="G7" s="247" t="s">
        <v>366</v>
      </c>
      <c r="H7" s="247" t="s">
        <v>367</v>
      </c>
      <c r="I7" s="247" t="s">
        <v>368</v>
      </c>
      <c r="J7" s="248" t="s">
        <v>233</v>
      </c>
    </row>
    <row r="8" spans="1:12" x14ac:dyDescent="0.25">
      <c r="A8" s="130" t="s">
        <v>163</v>
      </c>
      <c r="B8" s="299">
        <f>Черн.!DT7</f>
        <v>47752.427889999999</v>
      </c>
      <c r="C8" s="299">
        <f>Черн.!DU7</f>
        <v>33568.917829999999</v>
      </c>
      <c r="D8" s="186">
        <f>C8/B8%</f>
        <v>70.2978242432565</v>
      </c>
      <c r="E8" s="299">
        <f>Черн.!DV7</f>
        <v>93937.021899999992</v>
      </c>
      <c r="F8" s="299">
        <f>Черн.!DW7</f>
        <v>44539.462599999999</v>
      </c>
      <c r="G8" s="299">
        <f>F8/E8%</f>
        <v>47.414173559189663</v>
      </c>
      <c r="H8" s="299">
        <f>E8/B8%-100</f>
        <v>96.71674520170663</v>
      </c>
      <c r="I8" s="299">
        <f>F8/C8%-100</f>
        <v>32.680662586613977</v>
      </c>
      <c r="J8" s="320">
        <f>G8-D8</f>
        <v>-22.883650684066836</v>
      </c>
      <c r="K8" s="302">
        <f t="shared" ref="K8:K15" si="0">E8/B8</f>
        <v>1.9671674520170663</v>
      </c>
      <c r="L8" s="302">
        <f>F8/C8</f>
        <v>1.3268066258661397</v>
      </c>
    </row>
    <row r="9" spans="1:12" x14ac:dyDescent="0.25">
      <c r="A9" s="130" t="s">
        <v>164</v>
      </c>
      <c r="B9" s="299">
        <f>Черн.!DT8</f>
        <v>6597.8042300000006</v>
      </c>
      <c r="C9" s="299">
        <f>Черн.!DU8</f>
        <v>1980.85105</v>
      </c>
      <c r="D9" s="299">
        <f t="shared" ref="D9:D35" si="1">C9/B9%</f>
        <v>30.02288308272523</v>
      </c>
      <c r="E9" s="299">
        <f>Черн.!DV8</f>
        <v>21579.960500000001</v>
      </c>
      <c r="F9" s="299">
        <f>Черн.!DW8</f>
        <v>1917.6142</v>
      </c>
      <c r="G9" s="299">
        <f t="shared" ref="G9:G35" si="2">F9/E9%</f>
        <v>8.8860876274541827</v>
      </c>
      <c r="H9" s="299">
        <f t="shared" ref="H9:H32" si="3">E9/B9%-100</f>
        <v>227.07791482924915</v>
      </c>
      <c r="I9" s="299">
        <f t="shared" ref="I9:I32" si="4">F9/C9%-100</f>
        <v>-3.1924081318481825</v>
      </c>
      <c r="J9" s="320">
        <f t="shared" ref="J9:J35" si="5">G9-D9</f>
        <v>-21.136795455271049</v>
      </c>
      <c r="K9" s="302">
        <f t="shared" si="0"/>
        <v>3.2707791482924917</v>
      </c>
      <c r="L9" s="302">
        <f t="shared" ref="L9:L32" si="6">F9/C9</f>
        <v>0.96807591868151821</v>
      </c>
    </row>
    <row r="10" spans="1:12" x14ac:dyDescent="0.25">
      <c r="A10" s="130" t="s">
        <v>165</v>
      </c>
      <c r="B10" s="299">
        <f>Черн.!DT9</f>
        <v>902.33782999999994</v>
      </c>
      <c r="C10" s="299">
        <f>Черн.!DU9</f>
        <v>82</v>
      </c>
      <c r="D10" s="299">
        <f t="shared" si="1"/>
        <v>9.0875055077763953</v>
      </c>
      <c r="E10" s="299">
        <f>Черн.!DV9</f>
        <v>4722.0982000000004</v>
      </c>
      <c r="F10" s="299">
        <f>Черн.!DW9</f>
        <v>1.165</v>
      </c>
      <c r="G10" s="299">
        <f t="shared" si="2"/>
        <v>2.467123618903139E-2</v>
      </c>
      <c r="H10" s="299">
        <f t="shared" si="3"/>
        <v>423.31821220440247</v>
      </c>
      <c r="I10" s="299">
        <f t="shared" si="4"/>
        <v>-98.579268292682926</v>
      </c>
      <c r="J10" s="320">
        <f t="shared" si="5"/>
        <v>-9.0628342715873647</v>
      </c>
      <c r="K10" s="302">
        <f t="shared" si="0"/>
        <v>5.2331821220440249</v>
      </c>
      <c r="L10" s="302">
        <f t="shared" si="6"/>
        <v>1.4207317073170732E-2</v>
      </c>
    </row>
    <row r="11" spans="1:12" x14ac:dyDescent="0.25">
      <c r="A11" s="130" t="s">
        <v>166</v>
      </c>
      <c r="B11" s="299">
        <f>Черн.!DT10</f>
        <v>8822.1078100000013</v>
      </c>
      <c r="C11" s="299">
        <f>Черн.!DU10</f>
        <v>4549.0469999999996</v>
      </c>
      <c r="D11" s="286">
        <f t="shared" si="1"/>
        <v>51.564173754979301</v>
      </c>
      <c r="E11" s="299">
        <f>Черн.!DV10</f>
        <v>14696.345300000001</v>
      </c>
      <c r="F11" s="299">
        <f>Черн.!DW10</f>
        <v>5664.5019000000002</v>
      </c>
      <c r="G11" s="299">
        <f t="shared" si="2"/>
        <v>38.543609206024847</v>
      </c>
      <c r="H11" s="299">
        <f t="shared" si="3"/>
        <v>66.585419454310653</v>
      </c>
      <c r="I11" s="299">
        <f t="shared" si="4"/>
        <v>24.520628166734724</v>
      </c>
      <c r="J11" s="320">
        <f t="shared" si="5"/>
        <v>-13.020564548954454</v>
      </c>
      <c r="K11" s="302">
        <f t="shared" si="0"/>
        <v>1.6658541945431065</v>
      </c>
      <c r="L11" s="302">
        <f t="shared" si="6"/>
        <v>1.2452062816673473</v>
      </c>
    </row>
    <row r="12" spans="1:12" x14ac:dyDescent="0.25">
      <c r="A12" s="130" t="s">
        <v>167</v>
      </c>
      <c r="B12" s="299">
        <f>Черн.!DT11</f>
        <v>101010.00519</v>
      </c>
      <c r="C12" s="299">
        <f>Черн.!DU11</f>
        <v>46895.488530000002</v>
      </c>
      <c r="D12" s="299">
        <f t="shared" si="1"/>
        <v>46.426577685833706</v>
      </c>
      <c r="E12" s="299">
        <f>Черн.!DV11</f>
        <v>79673.761299999998</v>
      </c>
      <c r="F12" s="299">
        <f>Черн.!DW11</f>
        <v>52076.659299999999</v>
      </c>
      <c r="G12" s="186">
        <f t="shared" si="2"/>
        <v>65.362370811028853</v>
      </c>
      <c r="H12" s="299">
        <f t="shared" si="3"/>
        <v>-21.122901488685685</v>
      </c>
      <c r="I12" s="299">
        <f>F12/C12%-100</f>
        <v>11.048335207523209</v>
      </c>
      <c r="J12" s="320">
        <f>G12-D12</f>
        <v>18.935793125195147</v>
      </c>
      <c r="K12" s="302">
        <f t="shared" si="0"/>
        <v>0.78877098511314314</v>
      </c>
      <c r="L12" s="302">
        <f t="shared" si="6"/>
        <v>1.110483352075232</v>
      </c>
    </row>
    <row r="13" spans="1:12" x14ac:dyDescent="0.25">
      <c r="A13" s="130" t="s">
        <v>168</v>
      </c>
      <c r="B13" s="299">
        <f>Черн.!DT12</f>
        <v>174469.97242999999</v>
      </c>
      <c r="C13" s="299">
        <f>Черн.!DU12</f>
        <v>20729.255960000002</v>
      </c>
      <c r="D13" s="299">
        <f t="shared" si="1"/>
        <v>11.881274279628201</v>
      </c>
      <c r="E13" s="299">
        <f>Черн.!DV12</f>
        <v>45808.191500000001</v>
      </c>
      <c r="F13" s="299">
        <f>Черн.!DW12</f>
        <v>18550.6646</v>
      </c>
      <c r="G13" s="299">
        <f t="shared" si="2"/>
        <v>40.496391567870567</v>
      </c>
      <c r="H13" s="299">
        <f t="shared" si="3"/>
        <v>-73.74436938231365</v>
      </c>
      <c r="I13" s="299">
        <f t="shared" si="4"/>
        <v>-10.509742193371054</v>
      </c>
      <c r="J13" s="320">
        <f t="shared" si="5"/>
        <v>28.615117288242367</v>
      </c>
      <c r="K13" s="302">
        <f t="shared" si="0"/>
        <v>0.26255630617686343</v>
      </c>
      <c r="L13" s="302">
        <f t="shared" si="6"/>
        <v>0.89490257806628959</v>
      </c>
    </row>
    <row r="14" spans="1:12" x14ac:dyDescent="0.25">
      <c r="A14" s="130" t="s">
        <v>169</v>
      </c>
      <c r="B14" s="299">
        <f>Черн.!DT13</f>
        <v>61930.908819999997</v>
      </c>
      <c r="C14" s="299">
        <f>Черн.!DU13</f>
        <v>58097.597540000002</v>
      </c>
      <c r="D14" s="186">
        <f t="shared" si="1"/>
        <v>93.810342278132254</v>
      </c>
      <c r="E14" s="299">
        <f>Черн.!DV13</f>
        <v>91653.218999999997</v>
      </c>
      <c r="F14" s="299">
        <f>Черн.!DW13</f>
        <v>58519.034599999999</v>
      </c>
      <c r="G14" s="186">
        <f t="shared" si="2"/>
        <v>63.848313500041932</v>
      </c>
      <c r="H14" s="299">
        <f t="shared" si="3"/>
        <v>47.992691769447219</v>
      </c>
      <c r="I14" s="299">
        <f t="shared" si="4"/>
        <v>0.72539498678897019</v>
      </c>
      <c r="J14" s="320">
        <f t="shared" si="5"/>
        <v>-29.962028778090321</v>
      </c>
      <c r="K14" s="302">
        <f t="shared" si="0"/>
        <v>1.4799269176944723</v>
      </c>
      <c r="L14" s="302">
        <f t="shared" si="6"/>
        <v>1.0072539498678899</v>
      </c>
    </row>
    <row r="15" spans="1:12" x14ac:dyDescent="0.25">
      <c r="A15" s="130" t="s">
        <v>170</v>
      </c>
      <c r="B15" s="299">
        <f>Черн.!DT14</f>
        <v>12095.74473</v>
      </c>
      <c r="C15" s="299">
        <f>Черн.!DU14</f>
        <v>2428.0206000000003</v>
      </c>
      <c r="D15" s="299">
        <f t="shared" si="1"/>
        <v>20.073345248250789</v>
      </c>
      <c r="E15" s="299">
        <f>Черн.!DV14</f>
        <v>15607.9246</v>
      </c>
      <c r="F15" s="299">
        <f>Черн.!DW14</f>
        <v>5448.9587000000001</v>
      </c>
      <c r="G15" s="299">
        <f t="shared" si="2"/>
        <v>34.911487847654001</v>
      </c>
      <c r="H15" s="299">
        <f t="shared" si="3"/>
        <v>29.036491331443642</v>
      </c>
      <c r="I15" s="299">
        <f t="shared" si="4"/>
        <v>124.41978869536771</v>
      </c>
      <c r="J15" s="320">
        <f t="shared" si="5"/>
        <v>14.838142599403213</v>
      </c>
      <c r="K15" s="302">
        <f t="shared" si="0"/>
        <v>1.2903649133144364</v>
      </c>
      <c r="L15" s="302">
        <f t="shared" si="6"/>
        <v>2.2441978869536774</v>
      </c>
    </row>
    <row r="16" spans="1:12" x14ac:dyDescent="0.25">
      <c r="A16" s="130" t="s">
        <v>171</v>
      </c>
      <c r="B16" s="299">
        <f>Черн.!DT15</f>
        <v>4680.6187900000004</v>
      </c>
      <c r="C16" s="299">
        <f>Черн.!DU15</f>
        <v>106.10716000000001</v>
      </c>
      <c r="D16" s="299">
        <f t="shared" si="1"/>
        <v>2.2669472725848712</v>
      </c>
      <c r="E16" s="299">
        <f>Черн.!DV15</f>
        <v>30139.6155</v>
      </c>
      <c r="F16" s="299">
        <f>Черн.!DW15</f>
        <v>22176.072700000001</v>
      </c>
      <c r="G16" s="186">
        <f t="shared" si="2"/>
        <v>73.577822185555078</v>
      </c>
      <c r="H16" s="299">
        <f t="shared" si="3"/>
        <v>543.92373855338042</v>
      </c>
      <c r="I16" s="299">
        <f>F16/C16%-100</f>
        <v>20799.694893351214</v>
      </c>
      <c r="J16" s="320">
        <f t="shared" si="5"/>
        <v>71.310874912970206</v>
      </c>
      <c r="K16" s="302">
        <f>E16/B16</f>
        <v>6.4392373855338043</v>
      </c>
      <c r="L16" s="302">
        <f>F16/C16</f>
        <v>208.9969489335121</v>
      </c>
    </row>
    <row r="17" spans="1:12" x14ac:dyDescent="0.25">
      <c r="A17" s="130" t="s">
        <v>172</v>
      </c>
      <c r="B17" s="299">
        <f>Черн.!DT16</f>
        <v>8752.375970000001</v>
      </c>
      <c r="C17" s="299">
        <f>Черн.!DU16</f>
        <v>4370.4796399999996</v>
      </c>
      <c r="D17" s="299">
        <f t="shared" si="1"/>
        <v>49.934779481370917</v>
      </c>
      <c r="E17" s="299">
        <f>Черн.!DV16</f>
        <v>7096.6418000000003</v>
      </c>
      <c r="F17" s="299">
        <f>Черн.!DW16</f>
        <v>3125.6142</v>
      </c>
      <c r="G17" s="299">
        <f t="shared" si="2"/>
        <v>44.04356719822043</v>
      </c>
      <c r="H17" s="299">
        <f t="shared" si="3"/>
        <v>-18.917539370740727</v>
      </c>
      <c r="I17" s="299">
        <f t="shared" si="4"/>
        <v>-28.483497065324372</v>
      </c>
      <c r="J17" s="320">
        <f t="shared" si="5"/>
        <v>-5.8912122831504874</v>
      </c>
      <c r="K17" s="302">
        <f t="shared" ref="K17:K33" si="7">E17/B17</f>
        <v>0.81082460629259279</v>
      </c>
      <c r="L17" s="302">
        <f t="shared" si="6"/>
        <v>0.71516502934675619</v>
      </c>
    </row>
    <row r="18" spans="1:12" x14ac:dyDescent="0.25">
      <c r="A18" s="130" t="s">
        <v>173</v>
      </c>
      <c r="B18" s="299">
        <f>Черн.!DT17</f>
        <v>17270.700129999997</v>
      </c>
      <c r="C18" s="299">
        <f>Черн.!DU17</f>
        <v>8421.4002300000011</v>
      </c>
      <c r="D18" s="299">
        <f t="shared" si="1"/>
        <v>48.761197673576902</v>
      </c>
      <c r="E18" s="299">
        <f>Черн.!DV17</f>
        <v>31264.256399999998</v>
      </c>
      <c r="F18" s="299">
        <f>Черн.!DW17</f>
        <v>14845.8199</v>
      </c>
      <c r="G18" s="299">
        <f t="shared" si="2"/>
        <v>47.484960812949325</v>
      </c>
      <c r="H18" s="299">
        <f t="shared" si="3"/>
        <v>81.024834920806427</v>
      </c>
      <c r="I18" s="299">
        <f t="shared" si="4"/>
        <v>76.286834665735853</v>
      </c>
      <c r="J18" s="320">
        <f t="shared" si="5"/>
        <v>-1.2762368606275771</v>
      </c>
      <c r="K18" s="302">
        <f t="shared" si="7"/>
        <v>1.8102483492080643</v>
      </c>
      <c r="L18" s="302">
        <f t="shared" si="6"/>
        <v>1.7628683466573585</v>
      </c>
    </row>
    <row r="19" spans="1:12" x14ac:dyDescent="0.25">
      <c r="A19" s="130" t="s">
        <v>174</v>
      </c>
      <c r="B19" s="299">
        <f>Черн.!DT18</f>
        <v>22610.623090000001</v>
      </c>
      <c r="C19" s="299">
        <f>Черн.!DU18</f>
        <v>14181.029930000001</v>
      </c>
      <c r="D19" s="186">
        <f t="shared" si="1"/>
        <v>62.718439352836072</v>
      </c>
      <c r="E19" s="299">
        <f>Черн.!DV18</f>
        <v>462432.08529999998</v>
      </c>
      <c r="F19" s="299">
        <f>Черн.!DW18</f>
        <v>14563.382299999999</v>
      </c>
      <c r="G19" s="299">
        <f t="shared" si="2"/>
        <v>3.149301867873656</v>
      </c>
      <c r="H19" s="299">
        <f t="shared" si="3"/>
        <v>1945.198327614951</v>
      </c>
      <c r="I19" s="299">
        <f t="shared" si="4"/>
        <v>2.6962242650030106</v>
      </c>
      <c r="J19" s="320">
        <f t="shared" si="5"/>
        <v>-59.569137484962418</v>
      </c>
      <c r="K19" s="302">
        <f t="shared" si="7"/>
        <v>20.451983276149509</v>
      </c>
      <c r="L19" s="302">
        <f t="shared" si="6"/>
        <v>1.02696224265003</v>
      </c>
    </row>
    <row r="20" spans="1:12" x14ac:dyDescent="0.25">
      <c r="A20" s="130" t="s">
        <v>175</v>
      </c>
      <c r="B20" s="299">
        <f>Черн.!DT19</f>
        <v>44209.228739999999</v>
      </c>
      <c r="C20" s="299">
        <f>Черн.!DU19</f>
        <v>2302.7566299999999</v>
      </c>
      <c r="D20" s="299">
        <f t="shared" si="1"/>
        <v>5.2087690639047324</v>
      </c>
      <c r="E20" s="299">
        <f>Черн.!DV19</f>
        <v>39634.377800000002</v>
      </c>
      <c r="F20" s="299">
        <f>Черн.!DW19</f>
        <v>3830.1952000000001</v>
      </c>
      <c r="G20" s="299">
        <f t="shared" si="2"/>
        <v>9.6638206844765957</v>
      </c>
      <c r="H20" s="299">
        <f t="shared" si="3"/>
        <v>-10.348180844559096</v>
      </c>
      <c r="I20" s="299">
        <f t="shared" si="4"/>
        <v>66.330872750543335</v>
      </c>
      <c r="J20" s="320">
        <f t="shared" si="5"/>
        <v>4.4550516205718633</v>
      </c>
      <c r="K20" s="302">
        <f t="shared" si="7"/>
        <v>0.89651819155440904</v>
      </c>
      <c r="L20" s="302">
        <f t="shared" si="6"/>
        <v>1.6633087275054335</v>
      </c>
    </row>
    <row r="21" spans="1:12" x14ac:dyDescent="0.25">
      <c r="A21" s="130" t="s">
        <v>176</v>
      </c>
      <c r="B21" s="299">
        <f>Черн.!DT20</f>
        <v>7797.0317299999997</v>
      </c>
      <c r="C21" s="299">
        <f>Черн.!DU20</f>
        <v>2594.11591</v>
      </c>
      <c r="D21" s="299">
        <f t="shared" si="1"/>
        <v>33.270557307325468</v>
      </c>
      <c r="E21" s="299">
        <f>Черн.!DV20</f>
        <v>244128.2574</v>
      </c>
      <c r="F21" s="299">
        <f>Черн.!DW20</f>
        <v>2105.3891000000003</v>
      </c>
      <c r="G21" s="299">
        <f t="shared" si="2"/>
        <v>0.86241106311194293</v>
      </c>
      <c r="H21" s="299">
        <f t="shared" si="3"/>
        <v>3031.0409634564876</v>
      </c>
      <c r="I21" s="299">
        <f t="shared" si="4"/>
        <v>-18.83982161768553</v>
      </c>
      <c r="J21" s="320">
        <f t="shared" si="5"/>
        <v>-32.408146244213526</v>
      </c>
      <c r="K21" s="302">
        <f t="shared" si="7"/>
        <v>31.310409634564873</v>
      </c>
      <c r="L21" s="302">
        <f t="shared" si="6"/>
        <v>0.81160178382314474</v>
      </c>
    </row>
    <row r="22" spans="1:12" x14ac:dyDescent="0.25">
      <c r="A22" s="130" t="s">
        <v>177</v>
      </c>
      <c r="B22" s="299">
        <f>Черн.!DT21</f>
        <v>156071.06644999998</v>
      </c>
      <c r="C22" s="299">
        <f>Черн.!DU21</f>
        <v>91769.900500000003</v>
      </c>
      <c r="D22" s="286">
        <f t="shared" si="1"/>
        <v>58.800072676763598</v>
      </c>
      <c r="E22" s="299">
        <f>Черн.!DV21</f>
        <v>131518.60310000001</v>
      </c>
      <c r="F22" s="299">
        <f>Черн.!DW21</f>
        <v>88622.2353</v>
      </c>
      <c r="G22" s="186">
        <f t="shared" si="2"/>
        <v>67.383802147454517</v>
      </c>
      <c r="H22" s="299">
        <f t="shared" si="3"/>
        <v>-15.731591965424144</v>
      </c>
      <c r="I22" s="299">
        <f t="shared" si="4"/>
        <v>-3.4299538114896393</v>
      </c>
      <c r="J22" s="320">
        <f t="shared" si="5"/>
        <v>8.5837294706909191</v>
      </c>
      <c r="K22" s="302">
        <f t="shared" si="7"/>
        <v>0.84268408034575859</v>
      </c>
      <c r="L22" s="302">
        <f t="shared" si="6"/>
        <v>0.96570046188510361</v>
      </c>
    </row>
    <row r="23" spans="1:12" x14ac:dyDescent="0.25">
      <c r="A23" s="130" t="s">
        <v>178</v>
      </c>
      <c r="B23" s="299">
        <f>Черн.!DT22</f>
        <v>27699.816760000002</v>
      </c>
      <c r="C23" s="299">
        <f>Черн.!DU22</f>
        <v>10297.972960000001</v>
      </c>
      <c r="D23" s="299">
        <f t="shared" si="1"/>
        <v>37.177043621713842</v>
      </c>
      <c r="E23" s="299">
        <f>Черн.!DV22</f>
        <v>70488.261499999993</v>
      </c>
      <c r="F23" s="299">
        <f>Черн.!DW22</f>
        <v>7293.5649999999996</v>
      </c>
      <c r="G23" s="299">
        <f t="shared" si="2"/>
        <v>10.347205115847551</v>
      </c>
      <c r="H23" s="299">
        <f t="shared" si="3"/>
        <v>154.47194149597686</v>
      </c>
      <c r="I23" s="299">
        <f t="shared" si="4"/>
        <v>-29.174750911367724</v>
      </c>
      <c r="J23" s="320">
        <f t="shared" si="5"/>
        <v>-26.829838505866292</v>
      </c>
      <c r="K23" s="302">
        <f t="shared" si="7"/>
        <v>2.5447194149597685</v>
      </c>
      <c r="L23" s="302">
        <f t="shared" si="6"/>
        <v>0.70825249088632281</v>
      </c>
    </row>
    <row r="24" spans="1:12" x14ac:dyDescent="0.25">
      <c r="A24" s="130" t="s">
        <v>179</v>
      </c>
      <c r="B24" s="299">
        <f>Черн.!DT23</f>
        <v>26730.770690000001</v>
      </c>
      <c r="C24" s="299">
        <f>Черн.!DU23</f>
        <v>5822.0637800000004</v>
      </c>
      <c r="D24" s="299">
        <f t="shared" si="1"/>
        <v>21.780381297341485</v>
      </c>
      <c r="E24" s="299">
        <f>Черн.!DV23</f>
        <v>36442.337899999999</v>
      </c>
      <c r="F24" s="299">
        <f>Черн.!DW23</f>
        <v>5815.9393</v>
      </c>
      <c r="G24" s="299">
        <f t="shared" si="2"/>
        <v>15.959292501922606</v>
      </c>
      <c r="H24" s="299">
        <f t="shared" si="3"/>
        <v>36.331040816691086</v>
      </c>
      <c r="I24" s="299">
        <f t="shared" si="4"/>
        <v>-0.10519431307227478</v>
      </c>
      <c r="J24" s="320">
        <f t="shared" si="5"/>
        <v>-5.8210887954188788</v>
      </c>
      <c r="K24" s="302">
        <f t="shared" si="7"/>
        <v>1.3633104081669107</v>
      </c>
      <c r="L24" s="302">
        <f t="shared" si="6"/>
        <v>0.99894805686927735</v>
      </c>
    </row>
    <row r="25" spans="1:12" x14ac:dyDescent="0.25">
      <c r="A25" s="130" t="s">
        <v>180</v>
      </c>
      <c r="B25" s="299">
        <f>Черн.!DT24</f>
        <v>9738.2990600000012</v>
      </c>
      <c r="C25" s="299">
        <f>Черн.!DU24</f>
        <v>299.80041</v>
      </c>
      <c r="D25" s="299">
        <f t="shared" si="1"/>
        <v>3.0785705815035831</v>
      </c>
      <c r="E25" s="299">
        <f>Черн.!DV24</f>
        <v>15050.6638</v>
      </c>
      <c r="F25" s="299">
        <f>Черн.!DW24</f>
        <v>0</v>
      </c>
      <c r="G25" s="299">
        <f t="shared" si="2"/>
        <v>0</v>
      </c>
      <c r="H25" s="299">
        <f t="shared" si="3"/>
        <v>54.551258975199289</v>
      </c>
      <c r="I25" s="299">
        <f t="shared" si="4"/>
        <v>-100</v>
      </c>
      <c r="J25" s="320">
        <f t="shared" si="5"/>
        <v>-3.0785705815035831</v>
      </c>
      <c r="K25" s="302">
        <f t="shared" si="7"/>
        <v>1.545512589751993</v>
      </c>
      <c r="L25" s="302">
        <f t="shared" si="6"/>
        <v>0</v>
      </c>
    </row>
    <row r="26" spans="1:12" x14ac:dyDescent="0.25">
      <c r="A26" s="130" t="s">
        <v>181</v>
      </c>
      <c r="B26" s="299">
        <f>Черн.!DT25</f>
        <v>961.08338000000003</v>
      </c>
      <c r="C26" s="299">
        <f>Черн.!DU25</f>
        <v>0</v>
      </c>
      <c r="D26" s="299">
        <f t="shared" si="1"/>
        <v>0</v>
      </c>
      <c r="E26" s="299">
        <f>Черн.!DV25</f>
        <v>10007.867</v>
      </c>
      <c r="F26" s="299">
        <f>Черн.!DW25</f>
        <v>64.377700000000004</v>
      </c>
      <c r="G26" s="299">
        <f t="shared" si="2"/>
        <v>0.64327093875248342</v>
      </c>
      <c r="H26" s="299">
        <f t="shared" si="3"/>
        <v>941.31100467058332</v>
      </c>
      <c r="I26" s="299"/>
      <c r="J26" s="320">
        <f t="shared" si="5"/>
        <v>0.64327093875248342</v>
      </c>
      <c r="K26" s="302">
        <f t="shared" si="7"/>
        <v>10.413110046705834</v>
      </c>
    </row>
    <row r="27" spans="1:12" x14ac:dyDescent="0.25">
      <c r="A27" s="130" t="s">
        <v>182</v>
      </c>
      <c r="B27" s="299">
        <f>Черн.!DT26</f>
        <v>197516.90841999999</v>
      </c>
      <c r="C27" s="299">
        <f>Черн.!DU26</f>
        <v>9058.7393000000011</v>
      </c>
      <c r="D27" s="299">
        <f t="shared" si="1"/>
        <v>4.5863107986367915</v>
      </c>
      <c r="E27" s="299">
        <f>Черн.!DV26</f>
        <v>713976.77560000005</v>
      </c>
      <c r="F27" s="299">
        <f>Черн.!DW26</f>
        <v>28536.266899999999</v>
      </c>
      <c r="G27" s="299">
        <f t="shared" si="2"/>
        <v>3.9968060412075954</v>
      </c>
      <c r="H27" s="299">
        <f t="shared" si="3"/>
        <v>261.47628135298663</v>
      </c>
      <c r="I27" s="299">
        <f t="shared" si="4"/>
        <v>215.01366751993839</v>
      </c>
      <c r="J27" s="320">
        <f t="shared" si="5"/>
        <v>-0.58950475742919606</v>
      </c>
      <c r="K27" s="302">
        <f t="shared" si="7"/>
        <v>3.6147628135298659</v>
      </c>
      <c r="L27" s="302">
        <f t="shared" si="6"/>
        <v>3.1501366751993842</v>
      </c>
    </row>
    <row r="28" spans="1:12" x14ac:dyDescent="0.25">
      <c r="A28" s="130" t="s">
        <v>183</v>
      </c>
      <c r="B28" s="299">
        <f>Черн.!DT27</f>
        <v>40987.10744</v>
      </c>
      <c r="C28" s="299">
        <f>Черн.!DU27</f>
        <v>0</v>
      </c>
      <c r="D28" s="299">
        <f t="shared" si="1"/>
        <v>0</v>
      </c>
      <c r="E28" s="299">
        <f>Черн.!DV27</f>
        <v>327338.1286</v>
      </c>
      <c r="F28" s="299">
        <f>Черн.!DW27</f>
        <v>0</v>
      </c>
      <c r="G28" s="299">
        <f t="shared" si="2"/>
        <v>0</v>
      </c>
      <c r="H28" s="299">
        <f t="shared" si="3"/>
        <v>698.63681300072733</v>
      </c>
      <c r="I28" s="299"/>
      <c r="J28" s="320">
        <f t="shared" si="5"/>
        <v>0</v>
      </c>
      <c r="K28" s="302">
        <f t="shared" si="7"/>
        <v>7.9863681300072731</v>
      </c>
    </row>
    <row r="29" spans="1:12" x14ac:dyDescent="0.25">
      <c r="A29" s="130" t="s">
        <v>184</v>
      </c>
      <c r="B29" s="299">
        <f>Черн.!DT28</f>
        <v>71567.252139999997</v>
      </c>
      <c r="C29" s="299">
        <f>Черн.!DU28</f>
        <v>0</v>
      </c>
      <c r="D29" s="299">
        <f t="shared" si="1"/>
        <v>0</v>
      </c>
      <c r="E29" s="299">
        <f>Черн.!DV28</f>
        <v>102642.3858</v>
      </c>
      <c r="F29" s="299">
        <f>Черн.!DW28</f>
        <v>0</v>
      </c>
      <c r="G29" s="299">
        <f t="shared" si="2"/>
        <v>0</v>
      </c>
      <c r="H29" s="299">
        <f t="shared" si="3"/>
        <v>43.420884176481678</v>
      </c>
      <c r="I29" s="299"/>
      <c r="J29" s="320">
        <f t="shared" si="5"/>
        <v>0</v>
      </c>
      <c r="K29" s="302">
        <f t="shared" si="7"/>
        <v>1.4342088417648169</v>
      </c>
    </row>
    <row r="30" spans="1:12" x14ac:dyDescent="0.25">
      <c r="A30" s="130" t="s">
        <v>185</v>
      </c>
      <c r="B30" s="299">
        <f>Черн.!DT29</f>
        <v>44981.330030000005</v>
      </c>
      <c r="C30" s="299">
        <f>Черн.!DU29</f>
        <v>20132.06381</v>
      </c>
      <c r="D30" s="299">
        <f t="shared" si="1"/>
        <v>44.756488517731803</v>
      </c>
      <c r="E30" s="299">
        <f>Черн.!DV29</f>
        <v>39791.897700000001</v>
      </c>
      <c r="F30" s="299">
        <f>Черн.!DW29</f>
        <v>19132.0638</v>
      </c>
      <c r="G30" s="299">
        <f t="shared" si="2"/>
        <v>48.080300025499909</v>
      </c>
      <c r="H30" s="299">
        <f t="shared" si="3"/>
        <v>-11.536858351095759</v>
      </c>
      <c r="I30" s="299">
        <f t="shared" si="4"/>
        <v>-4.9672006776735884</v>
      </c>
      <c r="J30" s="320">
        <f t="shared" si="5"/>
        <v>3.3238115077681059</v>
      </c>
      <c r="K30" s="302">
        <f t="shared" si="7"/>
        <v>0.88463141648904231</v>
      </c>
      <c r="L30" s="302">
        <f t="shared" si="6"/>
        <v>0.95032799322326411</v>
      </c>
    </row>
    <row r="31" spans="1:12" x14ac:dyDescent="0.25">
      <c r="A31" s="130" t="s">
        <v>186</v>
      </c>
      <c r="B31" s="299">
        <f>Черн.!DT30</f>
        <v>4848.4981699999998</v>
      </c>
      <c r="C31" s="299">
        <f>Черн.!DU30</f>
        <v>467.77819</v>
      </c>
      <c r="D31" s="299">
        <f t="shared" si="1"/>
        <v>9.6478986605454367</v>
      </c>
      <c r="E31" s="299">
        <f>Черн.!DV30</f>
        <v>26349.447899999999</v>
      </c>
      <c r="F31" s="299">
        <f>Черн.!DW30</f>
        <v>150.9922</v>
      </c>
      <c r="G31" s="299">
        <f t="shared" si="2"/>
        <v>0.57303743354713699</v>
      </c>
      <c r="H31" s="299">
        <f t="shared" si="3"/>
        <v>443.45586975853189</v>
      </c>
      <c r="I31" s="299">
        <f t="shared" si="4"/>
        <v>-67.721410867830329</v>
      </c>
      <c r="J31" s="320">
        <f t="shared" si="5"/>
        <v>-9.0748612269982996</v>
      </c>
      <c r="K31" s="302">
        <f t="shared" si="7"/>
        <v>5.4345586975853184</v>
      </c>
      <c r="L31" s="302">
        <f t="shared" si="6"/>
        <v>0.32278589132169672</v>
      </c>
    </row>
    <row r="32" spans="1:12" x14ac:dyDescent="0.25">
      <c r="A32" s="130" t="s">
        <v>187</v>
      </c>
      <c r="B32" s="299">
        <f>Черн.!DT31</f>
        <v>38939.309280000001</v>
      </c>
      <c r="C32" s="299">
        <f>Черн.!DU31</f>
        <v>28285.6374</v>
      </c>
      <c r="D32" s="186">
        <f t="shared" si="1"/>
        <v>72.640316233159439</v>
      </c>
      <c r="E32" s="299">
        <f>Черн.!DV31</f>
        <v>65686.981599999999</v>
      </c>
      <c r="F32" s="299">
        <f>Черн.!DW31</f>
        <v>28037.902999999998</v>
      </c>
      <c r="G32" s="299">
        <f t="shared" si="2"/>
        <v>42.684109266485152</v>
      </c>
      <c r="H32" s="299">
        <f t="shared" si="3"/>
        <v>68.6906696974672</v>
      </c>
      <c r="I32" s="299">
        <f t="shared" si="4"/>
        <v>-0.87583106753677953</v>
      </c>
      <c r="J32" s="320">
        <f t="shared" si="5"/>
        <v>-29.956206966674287</v>
      </c>
      <c r="K32" s="302">
        <f t="shared" si="7"/>
        <v>1.686906696974672</v>
      </c>
      <c r="L32" s="302">
        <f t="shared" si="6"/>
        <v>0.9912416893246323</v>
      </c>
    </row>
    <row r="33" spans="1:12" x14ac:dyDescent="0.25">
      <c r="A33" s="130" t="s">
        <v>188</v>
      </c>
      <c r="B33" s="299">
        <f>Черн.!DT32</f>
        <v>24.347660000000001</v>
      </c>
      <c r="C33" s="299">
        <f>Черн.!DU32</f>
        <v>0</v>
      </c>
      <c r="D33" s="299">
        <f t="shared" si="1"/>
        <v>0</v>
      </c>
      <c r="E33" s="299">
        <f>Черн.!DV32</f>
        <v>358.8374</v>
      </c>
      <c r="F33" s="299">
        <f>Черн.!DW32</f>
        <v>0</v>
      </c>
      <c r="G33" s="299">
        <f t="shared" si="2"/>
        <v>0</v>
      </c>
      <c r="H33" s="299">
        <f>E33/B33%-100</f>
        <v>1373.8065177516032</v>
      </c>
      <c r="I33" s="299"/>
      <c r="J33" s="320">
        <f t="shared" si="5"/>
        <v>0</v>
      </c>
      <c r="K33" s="302">
        <f t="shared" si="7"/>
        <v>14.738065177516031</v>
      </c>
    </row>
    <row r="34" spans="1:12" s="319" customFormat="1" x14ac:dyDescent="0.25">
      <c r="A34" s="306" t="s">
        <v>189</v>
      </c>
      <c r="B34" s="307">
        <f>SUM(B8:B33)</f>
        <v>1138967.67686</v>
      </c>
      <c r="C34" s="307">
        <f>SUM(C8:C33)</f>
        <v>366441.02436000004</v>
      </c>
      <c r="D34" s="307">
        <f t="shared" si="1"/>
        <v>32.173083732300015</v>
      </c>
      <c r="E34" s="307">
        <f>SUM(E8:E33)</f>
        <v>2722025.9443999999</v>
      </c>
      <c r="F34" s="307">
        <f>SUM(F8:F33)</f>
        <v>425017.8775</v>
      </c>
      <c r="G34" s="307">
        <f t="shared" si="2"/>
        <v>15.614027425946675</v>
      </c>
      <c r="H34" s="307">
        <f t="shared" ref="H34:H35" si="8">E34/B34%-100</f>
        <v>138.99062279838401</v>
      </c>
      <c r="I34" s="307">
        <f t="shared" ref="I34" si="9">F34/C34%-100</f>
        <v>15.985342591568767</v>
      </c>
      <c r="J34" s="308">
        <f t="shared" si="5"/>
        <v>-16.559056306353341</v>
      </c>
      <c r="K34" s="319">
        <f t="shared" ref="K34" si="10">E34/B34</f>
        <v>2.3899062279838401</v>
      </c>
      <c r="L34" s="319">
        <f t="shared" ref="L34" si="11">F34/C34</f>
        <v>1.1598534259156876</v>
      </c>
    </row>
    <row r="35" spans="1:12" s="296" customFormat="1" x14ac:dyDescent="0.25">
      <c r="A35" s="298" t="s">
        <v>485</v>
      </c>
      <c r="B35" s="230">
        <f>2885544763.96/1000</f>
        <v>2885544.7639600001</v>
      </c>
      <c r="C35" s="230">
        <f>C36-C34</f>
        <v>0</v>
      </c>
      <c r="D35" s="230">
        <f t="shared" si="1"/>
        <v>0</v>
      </c>
      <c r="E35" s="230">
        <f>7592649273.89/1000</f>
        <v>7592649.2738900008</v>
      </c>
      <c r="F35" s="230">
        <f>F36-F34</f>
        <v>145.67181999998866</v>
      </c>
      <c r="G35" s="230">
        <f t="shared" si="2"/>
        <v>1.9185901356056645E-3</v>
      </c>
      <c r="H35" s="230">
        <f t="shared" si="8"/>
        <v>163.12706594335305</v>
      </c>
      <c r="I35" s="230"/>
      <c r="J35" s="231">
        <f t="shared" si="5"/>
        <v>1.9185901356056645E-3</v>
      </c>
    </row>
    <row r="36" spans="1:12" s="319" customFormat="1" ht="13.8" thickBot="1" x14ac:dyDescent="0.3">
      <c r="A36" s="309" t="s">
        <v>331</v>
      </c>
      <c r="B36" s="310">
        <v>3692606.7027500002</v>
      </c>
      <c r="C36" s="310">
        <v>366441.02436000004</v>
      </c>
      <c r="D36" s="310">
        <v>9.9236407735245642</v>
      </c>
      <c r="E36" s="310">
        <v>9867997.1629799996</v>
      </c>
      <c r="F36" s="310">
        <v>425163.54931999999</v>
      </c>
      <c r="G36" s="310">
        <v>4.3085090347918831</v>
      </c>
      <c r="H36" s="310">
        <v>167.236615143199</v>
      </c>
      <c r="I36" s="310">
        <v>16.02509573336134</v>
      </c>
      <c r="J36" s="311">
        <v>-5.6151317387326811</v>
      </c>
    </row>
    <row r="37" spans="1:12" ht="13.8" hidden="1" thickTop="1" x14ac:dyDescent="0.25">
      <c r="E37" s="302">
        <f>E34-B34</f>
        <v>1583058.2675399999</v>
      </c>
    </row>
    <row r="38" spans="1:12" hidden="1" x14ac:dyDescent="0.25">
      <c r="C38" s="379">
        <f>+C34/B34</f>
        <v>0.32173083732300012</v>
      </c>
      <c r="E38" s="302">
        <f>E37/1000</f>
        <v>1583.0582675399999</v>
      </c>
      <c r="F38" s="379">
        <f>+F34/E34</f>
        <v>0.15614027425946675</v>
      </c>
    </row>
    <row r="39" spans="1:12" hidden="1" x14ac:dyDescent="0.25">
      <c r="E39" s="302">
        <f>E34/B34</f>
        <v>2.3899062279838401</v>
      </c>
    </row>
    <row r="40" spans="1:12" ht="13.8" thickTop="1" x14ac:dyDescent="0.25"/>
  </sheetData>
  <autoFilter ref="A7:J38"/>
  <mergeCells count="13">
    <mergeCell ref="H5:H6"/>
    <mergeCell ref="J5:J6"/>
    <mergeCell ref="A2:J2"/>
    <mergeCell ref="H1:J1"/>
    <mergeCell ref="A4:A6"/>
    <mergeCell ref="B5:B6"/>
    <mergeCell ref="B4:D4"/>
    <mergeCell ref="D5:D6"/>
    <mergeCell ref="E4:G4"/>
    <mergeCell ref="E5:E6"/>
    <mergeCell ref="G5:G6"/>
    <mergeCell ref="H4:J4"/>
    <mergeCell ref="I3:J3"/>
  </mergeCells>
  <printOptions horizontalCentered="1"/>
  <pageMargins left="0" right="0" top="0.74803149606299213" bottom="0.35433070866141736" header="0.31496062992125984" footer="0.11811023622047245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F5" sqref="F5"/>
    </sheetView>
  </sheetViews>
  <sheetFormatPr defaultColWidth="8.88671875" defaultRowHeight="13.2" x14ac:dyDescent="0.25"/>
  <cols>
    <col min="1" max="1" width="66.44140625" style="380" customWidth="1"/>
    <col min="2" max="4" width="11.6640625" style="380" bestFit="1" customWidth="1"/>
    <col min="5" max="5" width="8.88671875" style="380"/>
    <col min="6" max="6" width="10.88671875" style="380" customWidth="1"/>
    <col min="7" max="8" width="0" style="381" hidden="1" customWidth="1"/>
    <col min="9" max="9" width="8.88671875" style="382"/>
    <col min="10" max="16384" width="8.88671875" style="380"/>
  </cols>
  <sheetData>
    <row r="1" spans="1:8" x14ac:dyDescent="0.25">
      <c r="F1" s="442" t="s">
        <v>1141</v>
      </c>
    </row>
    <row r="3" spans="1:8" ht="13.95" customHeight="1" x14ac:dyDescent="0.25">
      <c r="A3" s="482" t="s">
        <v>486</v>
      </c>
      <c r="B3" s="482"/>
      <c r="C3" s="482"/>
      <c r="D3" s="482"/>
      <c r="E3" s="482"/>
      <c r="F3" s="482"/>
    </row>
    <row r="4" spans="1:8" ht="13.95" customHeight="1" x14ac:dyDescent="0.25">
      <c r="A4" s="383"/>
      <c r="B4" s="383"/>
      <c r="C4" s="383"/>
      <c r="D4" s="383"/>
      <c r="E4" s="383"/>
      <c r="F4" s="383"/>
    </row>
    <row r="5" spans="1:8" ht="13.8" thickBot="1" x14ac:dyDescent="0.3">
      <c r="A5" s="384"/>
      <c r="F5" s="385" t="s">
        <v>452</v>
      </c>
    </row>
    <row r="6" spans="1:8" ht="27" customHeight="1" thickTop="1" x14ac:dyDescent="0.25">
      <c r="A6" s="483" t="s">
        <v>326</v>
      </c>
      <c r="B6" s="485" t="s">
        <v>454</v>
      </c>
      <c r="C6" s="485" t="s">
        <v>455</v>
      </c>
      <c r="D6" s="485" t="s">
        <v>456</v>
      </c>
      <c r="E6" s="485" t="s">
        <v>453</v>
      </c>
      <c r="F6" s="487"/>
    </row>
    <row r="7" spans="1:8" ht="79.2" x14ac:dyDescent="0.25">
      <c r="A7" s="484"/>
      <c r="B7" s="486"/>
      <c r="C7" s="486"/>
      <c r="D7" s="486"/>
      <c r="E7" s="386" t="s">
        <v>487</v>
      </c>
      <c r="F7" s="387" t="s">
        <v>488</v>
      </c>
    </row>
    <row r="8" spans="1:8" x14ac:dyDescent="0.25">
      <c r="A8" s="376" t="s">
        <v>13</v>
      </c>
      <c r="B8" s="377">
        <v>1</v>
      </c>
      <c r="C8" s="377">
        <v>2</v>
      </c>
      <c r="D8" s="377">
        <v>3</v>
      </c>
      <c r="E8" s="377">
        <v>4</v>
      </c>
      <c r="F8" s="378">
        <v>5</v>
      </c>
    </row>
    <row r="9" spans="1:8" x14ac:dyDescent="0.25">
      <c r="A9" s="388" t="s">
        <v>489</v>
      </c>
      <c r="B9" s="389">
        <f>SUM(B11:B32)</f>
        <v>64286.719399999987</v>
      </c>
      <c r="C9" s="389">
        <f>SUM(C11:C32)</f>
        <v>47974.953399999999</v>
      </c>
      <c r="D9" s="389">
        <f>SUM(D11:D32)</f>
        <v>47199.094300000019</v>
      </c>
      <c r="E9" s="389">
        <f t="shared" ref="E9" si="0">D9/B9*100</f>
        <v>73.419665430928845</v>
      </c>
      <c r="F9" s="390">
        <f>D9/C9*100</f>
        <v>98.38278300443335</v>
      </c>
      <c r="G9" s="381" t="e">
        <f>B9-#REF!</f>
        <v>#REF!</v>
      </c>
      <c r="H9" s="381" t="e">
        <f>D9-#REF!</f>
        <v>#REF!</v>
      </c>
    </row>
    <row r="10" spans="1:8" x14ac:dyDescent="0.25">
      <c r="A10" s="391" t="s">
        <v>490</v>
      </c>
      <c r="B10" s="392"/>
      <c r="C10" s="392"/>
      <c r="D10" s="392"/>
      <c r="E10" s="392"/>
      <c r="F10" s="393"/>
    </row>
    <row r="11" spans="1:8" ht="26.4" x14ac:dyDescent="0.25">
      <c r="A11" s="391" t="s">
        <v>457</v>
      </c>
      <c r="B11" s="392">
        <v>12659.6908</v>
      </c>
      <c r="C11" s="392">
        <v>9432.7598999999991</v>
      </c>
      <c r="D11" s="392">
        <v>9382.7230999999992</v>
      </c>
      <c r="E11" s="392">
        <f>D11/B11*100</f>
        <v>74.114946788431823</v>
      </c>
      <c r="F11" s="393">
        <f>D11/C11*100</f>
        <v>99.469542312849498</v>
      </c>
      <c r="G11" s="381" t="e">
        <f>B11-#REF!</f>
        <v>#REF!</v>
      </c>
      <c r="H11" s="381" t="e">
        <f>D11-#REF!</f>
        <v>#REF!</v>
      </c>
    </row>
    <row r="12" spans="1:8" ht="26.4" x14ac:dyDescent="0.25">
      <c r="A12" s="391" t="s">
        <v>491</v>
      </c>
      <c r="B12" s="392">
        <v>17776.210500000001</v>
      </c>
      <c r="C12" s="392">
        <v>13395.3004</v>
      </c>
      <c r="D12" s="392">
        <v>13068.5445</v>
      </c>
      <c r="E12" s="392">
        <f t="shared" ref="E12:E75" si="1">D12/B12*100</f>
        <v>73.517044029153453</v>
      </c>
      <c r="F12" s="393">
        <f t="shared" ref="F12:F76" si="2">D12/C12*100</f>
        <v>97.560667620414094</v>
      </c>
      <c r="G12" s="381" t="e">
        <f>B12-#REF!</f>
        <v>#REF!</v>
      </c>
      <c r="H12" s="381" t="e">
        <f>D12-#REF!</f>
        <v>#REF!</v>
      </c>
    </row>
    <row r="13" spans="1:8" ht="26.4" x14ac:dyDescent="0.25">
      <c r="A13" s="391" t="s">
        <v>492</v>
      </c>
      <c r="B13" s="392">
        <v>11034.042299999999</v>
      </c>
      <c r="C13" s="392">
        <v>8126.0212000000001</v>
      </c>
      <c r="D13" s="392">
        <v>8067.4620000000004</v>
      </c>
      <c r="E13" s="392">
        <f t="shared" si="1"/>
        <v>73.114292846240048</v>
      </c>
      <c r="F13" s="393">
        <f t="shared" si="2"/>
        <v>99.27936195883909</v>
      </c>
      <c r="G13" s="381" t="e">
        <f>B13-#REF!</f>
        <v>#REF!</v>
      </c>
      <c r="H13" s="381" t="e">
        <f>D13-#REF!</f>
        <v>#REF!</v>
      </c>
    </row>
    <row r="14" spans="1:8" ht="26.4" x14ac:dyDescent="0.25">
      <c r="A14" s="391" t="s">
        <v>458</v>
      </c>
      <c r="B14" s="392">
        <v>1569.9246000000001</v>
      </c>
      <c r="C14" s="392">
        <v>1211.5691999999999</v>
      </c>
      <c r="D14" s="392">
        <v>1104.3922</v>
      </c>
      <c r="E14" s="392">
        <f t="shared" si="1"/>
        <v>70.346830669447442</v>
      </c>
      <c r="F14" s="393">
        <f t="shared" si="2"/>
        <v>91.153868883428217</v>
      </c>
      <c r="G14" s="381" t="e">
        <f>B14-#REF!</f>
        <v>#REF!</v>
      </c>
      <c r="H14" s="381" t="e">
        <f>D14-#REF!</f>
        <v>#REF!</v>
      </c>
    </row>
    <row r="15" spans="1:8" ht="39.6" x14ac:dyDescent="0.25">
      <c r="A15" s="391" t="s">
        <v>493</v>
      </c>
      <c r="B15" s="392">
        <v>982.01170000000002</v>
      </c>
      <c r="C15" s="392">
        <v>779.15430000000003</v>
      </c>
      <c r="D15" s="392">
        <v>773.22080000000005</v>
      </c>
      <c r="E15" s="392">
        <f t="shared" si="1"/>
        <v>78.738450875890791</v>
      </c>
      <c r="F15" s="393">
        <f t="shared" si="2"/>
        <v>99.238469196666173</v>
      </c>
      <c r="G15" s="381" t="e">
        <f>B15-#REF!</f>
        <v>#REF!</v>
      </c>
      <c r="H15" s="381" t="e">
        <f>D15-#REF!</f>
        <v>#REF!</v>
      </c>
    </row>
    <row r="16" spans="1:8" ht="39.6" x14ac:dyDescent="0.25">
      <c r="A16" s="391" t="s">
        <v>459</v>
      </c>
      <c r="B16" s="392">
        <v>667.05870000000004</v>
      </c>
      <c r="C16" s="392">
        <v>423.3612</v>
      </c>
      <c r="D16" s="392">
        <v>405.26600000000002</v>
      </c>
      <c r="E16" s="392">
        <f t="shared" si="1"/>
        <v>60.754173508268458</v>
      </c>
      <c r="F16" s="393">
        <f t="shared" si="2"/>
        <v>95.725824662250574</v>
      </c>
      <c r="G16" s="381" t="e">
        <f>B16-#REF!</f>
        <v>#REF!</v>
      </c>
      <c r="H16" s="381" t="e">
        <f>D16-#REF!</f>
        <v>#REF!</v>
      </c>
    </row>
    <row r="17" spans="1:8" ht="39.6" x14ac:dyDescent="0.25">
      <c r="A17" s="391" t="s">
        <v>460</v>
      </c>
      <c r="B17" s="392">
        <v>824.23419999999999</v>
      </c>
      <c r="C17" s="392">
        <v>612.90779999999995</v>
      </c>
      <c r="D17" s="392">
        <v>568.90359999999998</v>
      </c>
      <c r="E17" s="392">
        <f t="shared" si="1"/>
        <v>69.02208134532637</v>
      </c>
      <c r="F17" s="393">
        <f t="shared" si="2"/>
        <v>92.820420950753117</v>
      </c>
      <c r="G17" s="381" t="e">
        <f>B17-#REF!</f>
        <v>#REF!</v>
      </c>
      <c r="H17" s="381" t="e">
        <f>D17-#REF!</f>
        <v>#REF!</v>
      </c>
    </row>
    <row r="18" spans="1:8" ht="66" x14ac:dyDescent="0.25">
      <c r="A18" s="391" t="s">
        <v>494</v>
      </c>
      <c r="B18" s="392">
        <v>3.9923999999999999</v>
      </c>
      <c r="C18" s="392">
        <v>3.3673999999999999</v>
      </c>
      <c r="D18" s="392">
        <v>3.3631000000000002</v>
      </c>
      <c r="E18" s="392">
        <f t="shared" si="1"/>
        <v>84.23755134756037</v>
      </c>
      <c r="F18" s="393">
        <f t="shared" si="2"/>
        <v>99.872305042465996</v>
      </c>
      <c r="G18" s="381" t="e">
        <f>B18-#REF!</f>
        <v>#REF!</v>
      </c>
      <c r="H18" s="381" t="e">
        <f>D18-#REF!</f>
        <v>#REF!</v>
      </c>
    </row>
    <row r="19" spans="1:8" ht="52.8" x14ac:dyDescent="0.25">
      <c r="A19" s="391" t="s">
        <v>461</v>
      </c>
      <c r="B19" s="392">
        <v>1108.8921</v>
      </c>
      <c r="C19" s="392">
        <v>822.97299999999996</v>
      </c>
      <c r="D19" s="392">
        <v>747.96709999999996</v>
      </c>
      <c r="E19" s="392">
        <f t="shared" si="1"/>
        <v>67.451747559568688</v>
      </c>
      <c r="F19" s="393">
        <f t="shared" si="2"/>
        <v>90.885982893727984</v>
      </c>
      <c r="G19" s="381" t="e">
        <f>B19-#REF!</f>
        <v>#REF!</v>
      </c>
      <c r="H19" s="381" t="e">
        <f>D19-#REF!</f>
        <v>#REF!</v>
      </c>
    </row>
    <row r="20" spans="1:8" ht="39.6" x14ac:dyDescent="0.25">
      <c r="A20" s="391" t="s">
        <v>462</v>
      </c>
      <c r="B20" s="392">
        <v>188.52189999999999</v>
      </c>
      <c r="C20" s="392">
        <v>137.03890000000001</v>
      </c>
      <c r="D20" s="392">
        <v>137.0138</v>
      </c>
      <c r="E20" s="392">
        <f t="shared" si="1"/>
        <v>72.677922299743443</v>
      </c>
      <c r="F20" s="393">
        <f t="shared" si="2"/>
        <v>99.981684032781928</v>
      </c>
      <c r="G20" s="381" t="e">
        <f>B20-#REF!</f>
        <v>#REF!</v>
      </c>
      <c r="H20" s="381" t="e">
        <f>D20-#REF!</f>
        <v>#REF!</v>
      </c>
    </row>
    <row r="21" spans="1:8" ht="52.8" x14ac:dyDescent="0.25">
      <c r="A21" s="391" t="s">
        <v>463</v>
      </c>
      <c r="B21" s="392">
        <v>493.11360000000002</v>
      </c>
      <c r="C21" s="392">
        <v>398.95710000000003</v>
      </c>
      <c r="D21" s="392">
        <v>395.17649999999998</v>
      </c>
      <c r="E21" s="392">
        <f t="shared" si="1"/>
        <v>80.139038955729461</v>
      </c>
      <c r="F21" s="393">
        <f t="shared" si="2"/>
        <v>99.05237931597155</v>
      </c>
      <c r="G21" s="381" t="e">
        <f>B21-#REF!</f>
        <v>#REF!</v>
      </c>
      <c r="H21" s="381" t="e">
        <f>D21-#REF!</f>
        <v>#REF!</v>
      </c>
    </row>
    <row r="22" spans="1:8" ht="39.6" x14ac:dyDescent="0.25">
      <c r="A22" s="391" t="s">
        <v>464</v>
      </c>
      <c r="B22" s="392">
        <v>275.95920000000001</v>
      </c>
      <c r="C22" s="392">
        <v>165.64400000000001</v>
      </c>
      <c r="D22" s="392">
        <v>158.2946</v>
      </c>
      <c r="E22" s="392">
        <f t="shared" si="1"/>
        <v>57.361595482230712</v>
      </c>
      <c r="F22" s="393">
        <f t="shared" si="2"/>
        <v>95.563135398807077</v>
      </c>
      <c r="G22" s="381" t="e">
        <f>B22-#REF!</f>
        <v>#REF!</v>
      </c>
      <c r="H22" s="381" t="e">
        <f>D22-#REF!</f>
        <v>#REF!</v>
      </c>
    </row>
    <row r="23" spans="1:8" ht="26.4" x14ac:dyDescent="0.25">
      <c r="A23" s="391" t="s">
        <v>465</v>
      </c>
      <c r="B23" s="392">
        <v>1.494</v>
      </c>
      <c r="C23" s="392">
        <v>1.1133</v>
      </c>
      <c r="D23" s="392">
        <v>0.71919999999999995</v>
      </c>
      <c r="E23" s="392">
        <f t="shared" si="1"/>
        <v>48.139223560910303</v>
      </c>
      <c r="F23" s="393">
        <f t="shared" si="2"/>
        <v>64.600736548998469</v>
      </c>
      <c r="G23" s="381" t="e">
        <f>B23-#REF!</f>
        <v>#REF!</v>
      </c>
      <c r="H23" s="381" t="e">
        <f>D23-#REF!</f>
        <v>#REF!</v>
      </c>
    </row>
    <row r="24" spans="1:8" ht="26.4" x14ac:dyDescent="0.25">
      <c r="A24" s="391" t="s">
        <v>466</v>
      </c>
      <c r="B24" s="392">
        <v>873.20050000000003</v>
      </c>
      <c r="C24" s="392">
        <v>596.34119999999996</v>
      </c>
      <c r="D24" s="392">
        <v>590.75630000000001</v>
      </c>
      <c r="E24" s="392">
        <f t="shared" si="1"/>
        <v>67.654141288283725</v>
      </c>
      <c r="F24" s="393">
        <f t="shared" si="2"/>
        <v>99.063472387955088</v>
      </c>
      <c r="G24" s="381" t="e">
        <f>B24-#REF!</f>
        <v>#REF!</v>
      </c>
      <c r="H24" s="381" t="e">
        <f>D24-#REF!</f>
        <v>#REF!</v>
      </c>
    </row>
    <row r="25" spans="1:8" ht="39.6" x14ac:dyDescent="0.25">
      <c r="A25" s="391" t="s">
        <v>467</v>
      </c>
      <c r="B25" s="392">
        <v>3550.6296000000002</v>
      </c>
      <c r="C25" s="392">
        <v>3168.125</v>
      </c>
      <c r="D25" s="392">
        <v>3152.3339999999998</v>
      </c>
      <c r="E25" s="392">
        <f t="shared" si="1"/>
        <v>88.782395099731033</v>
      </c>
      <c r="F25" s="393">
        <f t="shared" si="2"/>
        <v>99.501566383902144</v>
      </c>
      <c r="G25" s="381" t="e">
        <f>B25-#REF!</f>
        <v>#REF!</v>
      </c>
      <c r="H25" s="381" t="e">
        <f>D25-#REF!</f>
        <v>#REF!</v>
      </c>
    </row>
    <row r="26" spans="1:8" ht="52.8" x14ac:dyDescent="0.25">
      <c r="A26" s="391" t="s">
        <v>468</v>
      </c>
      <c r="B26" s="392">
        <v>39.544600000000003</v>
      </c>
      <c r="C26" s="392">
        <v>33.807000000000002</v>
      </c>
      <c r="D26" s="392">
        <v>31.9175</v>
      </c>
      <c r="E26" s="392">
        <f t="shared" si="1"/>
        <v>80.712663675950694</v>
      </c>
      <c r="F26" s="393">
        <f t="shared" si="2"/>
        <v>94.410920815215775</v>
      </c>
      <c r="G26" s="381" t="e">
        <f>B26-#REF!</f>
        <v>#REF!</v>
      </c>
      <c r="H26" s="381" t="e">
        <f>D26-#REF!</f>
        <v>#REF!</v>
      </c>
    </row>
    <row r="27" spans="1:8" ht="26.4" x14ac:dyDescent="0.25">
      <c r="A27" s="391" t="s">
        <v>469</v>
      </c>
      <c r="B27" s="392">
        <v>5333.5657000000001</v>
      </c>
      <c r="C27" s="392">
        <v>3777.1012000000001</v>
      </c>
      <c r="D27" s="392">
        <v>3768.1242999999999</v>
      </c>
      <c r="E27" s="392">
        <f t="shared" si="1"/>
        <v>70.64925252537904</v>
      </c>
      <c r="F27" s="393">
        <f t="shared" si="2"/>
        <v>99.762333611818505</v>
      </c>
      <c r="G27" s="381" t="e">
        <f>B27-#REF!</f>
        <v>#REF!</v>
      </c>
      <c r="H27" s="381" t="e">
        <f>D27-#REF!</f>
        <v>#REF!</v>
      </c>
    </row>
    <row r="28" spans="1:8" ht="26.4" x14ac:dyDescent="0.25">
      <c r="A28" s="391" t="s">
        <v>470</v>
      </c>
      <c r="B28" s="392">
        <v>160.58510000000001</v>
      </c>
      <c r="C28" s="392">
        <v>27.616</v>
      </c>
      <c r="D28" s="392">
        <v>25.746700000000001</v>
      </c>
      <c r="E28" s="392">
        <f t="shared" si="1"/>
        <v>16.033056616087045</v>
      </c>
      <c r="F28" s="393">
        <f t="shared" si="2"/>
        <v>93.231097914252615</v>
      </c>
      <c r="G28" s="381" t="e">
        <f>B28-#REF!</f>
        <v>#REF!</v>
      </c>
      <c r="H28" s="381" t="e">
        <f>D28-#REF!</f>
        <v>#REF!</v>
      </c>
    </row>
    <row r="29" spans="1:8" ht="39.6" x14ac:dyDescent="0.25">
      <c r="A29" s="391" t="s">
        <v>495</v>
      </c>
      <c r="B29" s="392">
        <v>80.919600000000003</v>
      </c>
      <c r="C29" s="392">
        <v>46.689799999999998</v>
      </c>
      <c r="D29" s="392">
        <v>45.702500000000001</v>
      </c>
      <c r="E29" s="392">
        <f t="shared" si="1"/>
        <v>56.478900043994287</v>
      </c>
      <c r="F29" s="393">
        <f t="shared" si="2"/>
        <v>97.885405377619961</v>
      </c>
      <c r="G29" s="381" t="e">
        <f>B29-#REF!</f>
        <v>#REF!</v>
      </c>
      <c r="H29" s="381" t="e">
        <f>D29-#REF!</f>
        <v>#REF!</v>
      </c>
    </row>
    <row r="30" spans="1:8" ht="39.6" x14ac:dyDescent="0.25">
      <c r="A30" s="391" t="s">
        <v>496</v>
      </c>
      <c r="B30" s="392">
        <v>5112.4700999999995</v>
      </c>
      <c r="C30" s="392">
        <v>3698.7975000000001</v>
      </c>
      <c r="D30" s="392">
        <v>3691.2311</v>
      </c>
      <c r="E30" s="392">
        <f t="shared" si="1"/>
        <v>72.200541573827508</v>
      </c>
      <c r="F30" s="393">
        <f t="shared" si="2"/>
        <v>99.795436219474027</v>
      </c>
      <c r="G30" s="381" t="e">
        <f>B30-#REF!</f>
        <v>#REF!</v>
      </c>
      <c r="H30" s="381" t="e">
        <f>D30-#REF!</f>
        <v>#REF!</v>
      </c>
    </row>
    <row r="31" spans="1:8" ht="39.6" x14ac:dyDescent="0.25">
      <c r="A31" s="391" t="s">
        <v>497</v>
      </c>
      <c r="B31" s="392">
        <v>1352.7810999999999</v>
      </c>
      <c r="C31" s="392">
        <v>922.89980000000003</v>
      </c>
      <c r="D31" s="392">
        <v>900.0693</v>
      </c>
      <c r="E31" s="392">
        <f t="shared" si="1"/>
        <v>66.534733520449095</v>
      </c>
      <c r="F31" s="393">
        <f t="shared" si="2"/>
        <v>97.526221156402897</v>
      </c>
      <c r="G31" s="381" t="e">
        <f>B31-#REF!</f>
        <v>#REF!</v>
      </c>
      <c r="H31" s="381" t="e">
        <f>D31-#REF!</f>
        <v>#REF!</v>
      </c>
    </row>
    <row r="32" spans="1:8" ht="39.6" x14ac:dyDescent="0.25">
      <c r="A32" s="391" t="s">
        <v>498</v>
      </c>
      <c r="B32" s="392">
        <v>197.87710000000001</v>
      </c>
      <c r="C32" s="392">
        <v>193.40819999999999</v>
      </c>
      <c r="D32" s="392">
        <v>180.1661</v>
      </c>
      <c r="E32" s="392">
        <f t="shared" si="1"/>
        <v>91.049494863225704</v>
      </c>
      <c r="F32" s="393">
        <f t="shared" si="2"/>
        <v>93.153289260744899</v>
      </c>
      <c r="G32" s="381" t="e">
        <f>B32-#REF!</f>
        <v>#REF!</v>
      </c>
      <c r="H32" s="381" t="e">
        <f>D32-#REF!</f>
        <v>#REF!</v>
      </c>
    </row>
    <row r="33" spans="1:18" x14ac:dyDescent="0.25">
      <c r="A33" s="391"/>
      <c r="B33" s="392"/>
      <c r="C33" s="392"/>
      <c r="D33" s="392"/>
      <c r="E33" s="392"/>
      <c r="F33" s="393"/>
    </row>
    <row r="34" spans="1:18" x14ac:dyDescent="0.25">
      <c r="A34" s="388" t="s">
        <v>499</v>
      </c>
      <c r="B34" s="389">
        <f>B36</f>
        <v>3146.6370999999999</v>
      </c>
      <c r="C34" s="389">
        <f t="shared" ref="C34:D34" si="3">C36</f>
        <v>2158.9423000000002</v>
      </c>
      <c r="D34" s="389">
        <f t="shared" si="3"/>
        <v>2146.1320000000001</v>
      </c>
      <c r="E34" s="389">
        <f t="shared" si="1"/>
        <v>68.203988315017327</v>
      </c>
      <c r="F34" s="390">
        <f t="shared" si="2"/>
        <v>99.406640001448849</v>
      </c>
    </row>
    <row r="35" spans="1:18" x14ac:dyDescent="0.25">
      <c r="A35" s="391" t="s">
        <v>490</v>
      </c>
      <c r="B35" s="389"/>
      <c r="C35" s="389"/>
      <c r="D35" s="389"/>
      <c r="E35" s="392"/>
      <c r="F35" s="393"/>
    </row>
    <row r="36" spans="1:18" ht="52.8" x14ac:dyDescent="0.25">
      <c r="A36" s="391" t="s">
        <v>500</v>
      </c>
      <c r="B36" s="392">
        <v>3146.6370999999999</v>
      </c>
      <c r="C36" s="392">
        <v>2158.9423000000002</v>
      </c>
      <c r="D36" s="392">
        <v>2146.1320000000001</v>
      </c>
      <c r="E36" s="392">
        <f t="shared" si="1"/>
        <v>68.203988315017327</v>
      </c>
      <c r="F36" s="393">
        <f t="shared" si="2"/>
        <v>99.406640001448849</v>
      </c>
    </row>
    <row r="37" spans="1:18" x14ac:dyDescent="0.25">
      <c r="A37" s="394" t="s">
        <v>30</v>
      </c>
      <c r="B37" s="395"/>
      <c r="C37" s="395"/>
      <c r="D37" s="395"/>
      <c r="E37" s="392"/>
      <c r="F37" s="393"/>
    </row>
    <row r="38" spans="1:18" x14ac:dyDescent="0.25">
      <c r="A38" s="388" t="s">
        <v>501</v>
      </c>
      <c r="B38" s="389">
        <f>B40+B41+B43+B42</f>
        <v>223.2081</v>
      </c>
      <c r="C38" s="389">
        <f>C40+C41+C43+C42</f>
        <v>18.888099999999998</v>
      </c>
      <c r="D38" s="389">
        <f>D40+D41+D43+D42</f>
        <v>18.888099999999998</v>
      </c>
      <c r="E38" s="389">
        <f t="shared" si="1"/>
        <v>8.4621033018066996</v>
      </c>
      <c r="F38" s="390">
        <f t="shared" si="2"/>
        <v>100</v>
      </c>
    </row>
    <row r="39" spans="1:18" x14ac:dyDescent="0.25">
      <c r="A39" s="391" t="s">
        <v>490</v>
      </c>
      <c r="B39" s="389"/>
      <c r="C39" s="389"/>
      <c r="D39" s="389"/>
      <c r="E39" s="392"/>
      <c r="F39" s="393"/>
    </row>
    <row r="40" spans="1:18" ht="39.6" x14ac:dyDescent="0.25">
      <c r="A40" s="391" t="s">
        <v>471</v>
      </c>
      <c r="B40" s="392">
        <v>2.5750000000000002</v>
      </c>
      <c r="C40" s="392">
        <v>1.6095999999999999</v>
      </c>
      <c r="D40" s="392">
        <v>1.6095999999999999</v>
      </c>
      <c r="E40" s="392">
        <f t="shared" si="1"/>
        <v>62.508737864077659</v>
      </c>
      <c r="F40" s="393">
        <f t="shared" si="2"/>
        <v>100</v>
      </c>
      <c r="G40" s="381" t="e">
        <f>B40-#REF!</f>
        <v>#REF!</v>
      </c>
      <c r="H40" s="381" t="e">
        <f>D40-#REF!</f>
        <v>#REF!</v>
      </c>
    </row>
    <row r="41" spans="1:18" s="382" customFormat="1" ht="26.4" x14ac:dyDescent="0.25">
      <c r="A41" s="391" t="s">
        <v>472</v>
      </c>
      <c r="B41" s="392">
        <v>197.72120000000001</v>
      </c>
      <c r="C41" s="392">
        <v>0</v>
      </c>
      <c r="D41" s="392">
        <v>0</v>
      </c>
      <c r="E41" s="392">
        <f t="shared" si="1"/>
        <v>0</v>
      </c>
      <c r="F41" s="393">
        <v>0</v>
      </c>
      <c r="G41" s="381" t="e">
        <f>B41-#REF!</f>
        <v>#REF!</v>
      </c>
      <c r="H41" s="381" t="e">
        <f>D41-#REF!</f>
        <v>#REF!</v>
      </c>
      <c r="J41" s="380"/>
      <c r="K41" s="380"/>
      <c r="L41" s="380"/>
      <c r="M41" s="380"/>
      <c r="N41" s="380"/>
      <c r="O41" s="380"/>
      <c r="P41" s="380"/>
      <c r="Q41" s="380"/>
      <c r="R41" s="380"/>
    </row>
    <row r="42" spans="1:18" s="382" customFormat="1" ht="66" x14ac:dyDescent="0.25">
      <c r="A42" s="391" t="s">
        <v>473</v>
      </c>
      <c r="B42" s="392">
        <v>2.3323</v>
      </c>
      <c r="C42" s="392">
        <v>2.3323</v>
      </c>
      <c r="D42" s="392">
        <v>2.3323</v>
      </c>
      <c r="E42" s="392">
        <f>D42/B42*100</f>
        <v>100</v>
      </c>
      <c r="F42" s="393">
        <f t="shared" si="2"/>
        <v>100</v>
      </c>
      <c r="G42" s="381"/>
      <c r="H42" s="381"/>
      <c r="J42" s="380"/>
      <c r="K42" s="380"/>
      <c r="L42" s="380"/>
      <c r="M42" s="380"/>
      <c r="N42" s="380"/>
      <c r="O42" s="380"/>
      <c r="P42" s="380"/>
      <c r="Q42" s="380"/>
      <c r="R42" s="380"/>
    </row>
    <row r="43" spans="1:18" s="382" customFormat="1" ht="39.6" x14ac:dyDescent="0.25">
      <c r="A43" s="391" t="s">
        <v>502</v>
      </c>
      <c r="B43" s="392">
        <v>20.579599999999999</v>
      </c>
      <c r="C43" s="392">
        <v>14.946199999999999</v>
      </c>
      <c r="D43" s="392">
        <v>14.946199999999999</v>
      </c>
      <c r="E43" s="392">
        <f t="shared" si="1"/>
        <v>72.626290112538626</v>
      </c>
      <c r="F43" s="393">
        <f>D43/C43*100</f>
        <v>100</v>
      </c>
      <c r="G43" s="381"/>
      <c r="H43" s="381"/>
      <c r="J43" s="380"/>
      <c r="K43" s="380"/>
      <c r="L43" s="380"/>
      <c r="M43" s="380"/>
      <c r="N43" s="380"/>
      <c r="O43" s="380"/>
      <c r="P43" s="380"/>
      <c r="Q43" s="380"/>
      <c r="R43" s="380"/>
    </row>
    <row r="44" spans="1:18" s="382" customFormat="1" hidden="1" x14ac:dyDescent="0.25">
      <c r="A44" s="394" t="s">
        <v>30</v>
      </c>
      <c r="B44" s="395" t="e">
        <f>+#REF!/1000</f>
        <v>#REF!</v>
      </c>
      <c r="C44" s="395" t="e">
        <f>+#REF!/1000</f>
        <v>#REF!</v>
      </c>
      <c r="D44" s="395" t="e">
        <f>+#REF!/1000</f>
        <v>#REF!</v>
      </c>
      <c r="E44" s="392" t="e">
        <f t="shared" si="1"/>
        <v>#REF!</v>
      </c>
      <c r="F44" s="393" t="e">
        <f t="shared" si="2"/>
        <v>#REF!</v>
      </c>
      <c r="G44" s="381"/>
      <c r="H44" s="381"/>
      <c r="J44" s="380"/>
      <c r="K44" s="380"/>
      <c r="L44" s="380"/>
      <c r="M44" s="380"/>
      <c r="N44" s="380"/>
      <c r="O44" s="380"/>
      <c r="P44" s="380"/>
      <c r="Q44" s="380"/>
      <c r="R44" s="380"/>
    </row>
    <row r="45" spans="1:18" s="382" customFormat="1" hidden="1" x14ac:dyDescent="0.25">
      <c r="A45" s="388" t="s">
        <v>474</v>
      </c>
      <c r="B45" s="389" t="e">
        <f>+#REF!/1000</f>
        <v>#REF!</v>
      </c>
      <c r="C45" s="389" t="e">
        <f>+#REF!/1000</f>
        <v>#REF!</v>
      </c>
      <c r="D45" s="389" t="e">
        <f>+#REF!/1000</f>
        <v>#REF!</v>
      </c>
      <c r="E45" s="392" t="e">
        <f t="shared" si="1"/>
        <v>#REF!</v>
      </c>
      <c r="F45" s="393" t="e">
        <f t="shared" si="2"/>
        <v>#REF!</v>
      </c>
      <c r="G45" s="381"/>
      <c r="H45" s="381"/>
      <c r="J45" s="380"/>
      <c r="K45" s="380"/>
      <c r="L45" s="380"/>
      <c r="M45" s="380"/>
      <c r="N45" s="380"/>
      <c r="O45" s="380"/>
      <c r="P45" s="380"/>
      <c r="Q45" s="380"/>
      <c r="R45" s="380"/>
    </row>
    <row r="46" spans="1:18" s="382" customFormat="1" hidden="1" x14ac:dyDescent="0.25">
      <c r="A46" s="396" t="s">
        <v>30</v>
      </c>
      <c r="B46" s="389" t="e">
        <f>+#REF!/1000</f>
        <v>#REF!</v>
      </c>
      <c r="C46" s="389" t="e">
        <f>+#REF!/1000</f>
        <v>#REF!</v>
      </c>
      <c r="D46" s="389" t="e">
        <f>+#REF!/1000</f>
        <v>#REF!</v>
      </c>
      <c r="E46" s="392" t="e">
        <f t="shared" si="1"/>
        <v>#REF!</v>
      </c>
      <c r="F46" s="393" t="e">
        <f t="shared" si="2"/>
        <v>#REF!</v>
      </c>
      <c r="G46" s="381"/>
      <c r="H46" s="381"/>
      <c r="J46" s="380"/>
      <c r="K46" s="380"/>
      <c r="L46" s="380"/>
      <c r="M46" s="380"/>
      <c r="N46" s="380"/>
      <c r="O46" s="380"/>
      <c r="P46" s="380"/>
      <c r="Q46" s="380"/>
      <c r="R46" s="380"/>
    </row>
    <row r="47" spans="1:18" s="382" customFormat="1" ht="39.6" hidden="1" x14ac:dyDescent="0.25">
      <c r="A47" s="388" t="s">
        <v>475</v>
      </c>
      <c r="B47" s="389" t="e">
        <f>+#REF!/1000</f>
        <v>#REF!</v>
      </c>
      <c r="C47" s="389" t="e">
        <f>+#REF!/1000</f>
        <v>#REF!</v>
      </c>
      <c r="D47" s="389" t="e">
        <f>+#REF!/1000</f>
        <v>#REF!</v>
      </c>
      <c r="E47" s="392" t="e">
        <f t="shared" si="1"/>
        <v>#REF!</v>
      </c>
      <c r="F47" s="393" t="e">
        <f t="shared" si="2"/>
        <v>#REF!</v>
      </c>
      <c r="G47" s="381"/>
      <c r="H47" s="381"/>
      <c r="J47" s="380"/>
      <c r="K47" s="380"/>
      <c r="L47" s="380"/>
      <c r="M47" s="380"/>
      <c r="N47" s="380"/>
      <c r="O47" s="380"/>
      <c r="P47" s="380"/>
      <c r="Q47" s="380"/>
      <c r="R47" s="380"/>
    </row>
    <row r="48" spans="1:18" s="382" customFormat="1" hidden="1" x14ac:dyDescent="0.25">
      <c r="A48" s="388" t="s">
        <v>503</v>
      </c>
      <c r="B48" s="389" t="e">
        <f>+#REF!/1000</f>
        <v>#REF!</v>
      </c>
      <c r="C48" s="389" t="e">
        <f>+#REF!/1000</f>
        <v>#REF!</v>
      </c>
      <c r="D48" s="389" t="e">
        <f>+#REF!/1000</f>
        <v>#REF!</v>
      </c>
      <c r="E48" s="392" t="e">
        <f t="shared" si="1"/>
        <v>#REF!</v>
      </c>
      <c r="F48" s="393" t="e">
        <f t="shared" si="2"/>
        <v>#REF!</v>
      </c>
      <c r="G48" s="381"/>
      <c r="H48" s="381"/>
      <c r="J48" s="380"/>
      <c r="K48" s="380"/>
      <c r="L48" s="380"/>
      <c r="M48" s="380"/>
      <c r="N48" s="380"/>
      <c r="O48" s="380"/>
      <c r="P48" s="380"/>
      <c r="Q48" s="380"/>
      <c r="R48" s="380"/>
    </row>
    <row r="49" spans="1:18" s="382" customFormat="1" ht="26.4" hidden="1" x14ac:dyDescent="0.25">
      <c r="A49" s="397" t="s">
        <v>504</v>
      </c>
      <c r="B49" s="398" t="e">
        <f>+#REF!/1000</f>
        <v>#REF!</v>
      </c>
      <c r="C49" s="398" t="e">
        <f>+#REF!/1000</f>
        <v>#REF!</v>
      </c>
      <c r="D49" s="398" t="e">
        <f>+#REF!/1000</f>
        <v>#REF!</v>
      </c>
      <c r="E49" s="392" t="e">
        <f t="shared" si="1"/>
        <v>#REF!</v>
      </c>
      <c r="F49" s="393" t="e">
        <f t="shared" si="2"/>
        <v>#REF!</v>
      </c>
      <c r="G49" s="381"/>
      <c r="H49" s="381"/>
      <c r="J49" s="380"/>
      <c r="K49" s="380"/>
      <c r="L49" s="380"/>
      <c r="M49" s="380"/>
      <c r="N49" s="380"/>
      <c r="O49" s="380"/>
      <c r="P49" s="380"/>
      <c r="Q49" s="380"/>
      <c r="R49" s="380"/>
    </row>
    <row r="50" spans="1:18" s="381" customFormat="1" ht="52.8" hidden="1" x14ac:dyDescent="0.25">
      <c r="A50" s="397" t="s">
        <v>505</v>
      </c>
      <c r="B50" s="398" t="e">
        <f>+#REF!/1000</f>
        <v>#REF!</v>
      </c>
      <c r="C50" s="398" t="e">
        <f>+#REF!/1000</f>
        <v>#REF!</v>
      </c>
      <c r="D50" s="398" t="e">
        <f>+#REF!/1000</f>
        <v>#REF!</v>
      </c>
      <c r="E50" s="392" t="e">
        <f t="shared" si="1"/>
        <v>#REF!</v>
      </c>
      <c r="F50" s="393" t="e">
        <f t="shared" si="2"/>
        <v>#REF!</v>
      </c>
      <c r="I50" s="382"/>
      <c r="J50" s="380"/>
      <c r="K50" s="380"/>
      <c r="L50" s="380"/>
      <c r="M50" s="380"/>
      <c r="N50" s="380"/>
      <c r="O50" s="380"/>
      <c r="P50" s="380"/>
      <c r="Q50" s="380"/>
      <c r="R50" s="380"/>
    </row>
    <row r="51" spans="1:18" s="381" customFormat="1" ht="26.4" hidden="1" x14ac:dyDescent="0.25">
      <c r="A51" s="397" t="s">
        <v>506</v>
      </c>
      <c r="B51" s="398" t="e">
        <f>+#REF!/1000</f>
        <v>#REF!</v>
      </c>
      <c r="C51" s="398" t="e">
        <f>+#REF!/1000</f>
        <v>#REF!</v>
      </c>
      <c r="D51" s="398" t="e">
        <f>+#REF!/1000</f>
        <v>#REF!</v>
      </c>
      <c r="E51" s="392" t="e">
        <f t="shared" si="1"/>
        <v>#REF!</v>
      </c>
      <c r="F51" s="393" t="e">
        <f t="shared" si="2"/>
        <v>#REF!</v>
      </c>
      <c r="I51" s="382"/>
      <c r="J51" s="380"/>
      <c r="K51" s="380"/>
      <c r="L51" s="380"/>
      <c r="M51" s="380"/>
      <c r="N51" s="380"/>
      <c r="O51" s="380"/>
      <c r="P51" s="380"/>
      <c r="Q51" s="380"/>
      <c r="R51" s="380"/>
    </row>
    <row r="52" spans="1:18" s="381" customFormat="1" hidden="1" x14ac:dyDescent="0.25">
      <c r="A52" s="396" t="s">
        <v>30</v>
      </c>
      <c r="B52" s="389" t="e">
        <f>+#REF!/1000</f>
        <v>#REF!</v>
      </c>
      <c r="C52" s="389" t="e">
        <f>+#REF!/1000</f>
        <v>#REF!</v>
      </c>
      <c r="D52" s="389" t="e">
        <f>+#REF!/1000</f>
        <v>#REF!</v>
      </c>
      <c r="E52" s="392" t="e">
        <f t="shared" si="1"/>
        <v>#REF!</v>
      </c>
      <c r="F52" s="393" t="e">
        <f t="shared" si="2"/>
        <v>#REF!</v>
      </c>
      <c r="I52" s="382"/>
      <c r="J52" s="380"/>
      <c r="K52" s="380"/>
      <c r="L52" s="380"/>
      <c r="M52" s="380"/>
      <c r="N52" s="380"/>
      <c r="O52" s="380"/>
      <c r="P52" s="380"/>
      <c r="Q52" s="380"/>
      <c r="R52" s="380"/>
    </row>
    <row r="53" spans="1:18" s="381" customFormat="1" ht="26.4" hidden="1" x14ac:dyDescent="0.25">
      <c r="A53" s="388" t="s">
        <v>507</v>
      </c>
      <c r="B53" s="389" t="e">
        <f>+#REF!/1000</f>
        <v>#REF!</v>
      </c>
      <c r="C53" s="389" t="e">
        <f>+#REF!/1000</f>
        <v>#REF!</v>
      </c>
      <c r="D53" s="389" t="e">
        <f>+#REF!/1000</f>
        <v>#REF!</v>
      </c>
      <c r="E53" s="392" t="e">
        <f t="shared" si="1"/>
        <v>#REF!</v>
      </c>
      <c r="F53" s="393" t="e">
        <f t="shared" si="2"/>
        <v>#REF!</v>
      </c>
      <c r="I53" s="382"/>
      <c r="J53" s="380"/>
      <c r="K53" s="380"/>
      <c r="L53" s="380"/>
      <c r="M53" s="380"/>
      <c r="N53" s="380"/>
      <c r="O53" s="380"/>
      <c r="P53" s="380"/>
      <c r="Q53" s="380"/>
      <c r="R53" s="380"/>
    </row>
    <row r="54" spans="1:18" s="381" customFormat="1" ht="26.4" hidden="1" x14ac:dyDescent="0.25">
      <c r="A54" s="397" t="s">
        <v>504</v>
      </c>
      <c r="B54" s="398" t="e">
        <f>+#REF!/1000</f>
        <v>#REF!</v>
      </c>
      <c r="C54" s="398" t="e">
        <f>+#REF!/1000</f>
        <v>#REF!</v>
      </c>
      <c r="D54" s="398" t="e">
        <f>+#REF!/1000</f>
        <v>#REF!</v>
      </c>
      <c r="E54" s="392" t="e">
        <f t="shared" si="1"/>
        <v>#REF!</v>
      </c>
      <c r="F54" s="393" t="e">
        <f t="shared" si="2"/>
        <v>#REF!</v>
      </c>
      <c r="I54" s="382"/>
      <c r="J54" s="380"/>
      <c r="K54" s="380"/>
      <c r="L54" s="380"/>
      <c r="M54" s="380"/>
      <c r="N54" s="380"/>
      <c r="O54" s="380"/>
      <c r="P54" s="380"/>
      <c r="Q54" s="380"/>
      <c r="R54" s="380"/>
    </row>
    <row r="55" spans="1:18" s="381" customFormat="1" ht="52.8" hidden="1" x14ac:dyDescent="0.25">
      <c r="A55" s="397" t="s">
        <v>505</v>
      </c>
      <c r="B55" s="398" t="e">
        <f>+#REF!/1000</f>
        <v>#REF!</v>
      </c>
      <c r="C55" s="398" t="e">
        <f>+#REF!/1000</f>
        <v>#REF!</v>
      </c>
      <c r="D55" s="398" t="e">
        <f>+#REF!/1000</f>
        <v>#REF!</v>
      </c>
      <c r="E55" s="392" t="e">
        <f t="shared" si="1"/>
        <v>#REF!</v>
      </c>
      <c r="F55" s="393" t="e">
        <f t="shared" si="2"/>
        <v>#REF!</v>
      </c>
      <c r="I55" s="382"/>
      <c r="J55" s="380"/>
      <c r="K55" s="380"/>
      <c r="L55" s="380"/>
      <c r="M55" s="380"/>
      <c r="N55" s="380"/>
      <c r="O55" s="380"/>
      <c r="P55" s="380"/>
      <c r="Q55" s="380"/>
      <c r="R55" s="380"/>
    </row>
    <row r="56" spans="1:18" s="381" customFormat="1" ht="26.4" hidden="1" x14ac:dyDescent="0.25">
      <c r="A56" s="397" t="s">
        <v>506</v>
      </c>
      <c r="B56" s="398" t="e">
        <f>+#REF!/1000</f>
        <v>#REF!</v>
      </c>
      <c r="C56" s="398" t="e">
        <f>+#REF!/1000</f>
        <v>#REF!</v>
      </c>
      <c r="D56" s="398" t="e">
        <f>+#REF!/1000</f>
        <v>#REF!</v>
      </c>
      <c r="E56" s="392" t="e">
        <f t="shared" si="1"/>
        <v>#REF!</v>
      </c>
      <c r="F56" s="393" t="e">
        <f t="shared" si="2"/>
        <v>#REF!</v>
      </c>
      <c r="I56" s="382"/>
      <c r="J56" s="380"/>
      <c r="K56" s="380"/>
      <c r="L56" s="380"/>
      <c r="M56" s="380"/>
      <c r="N56" s="380"/>
      <c r="O56" s="380"/>
      <c r="P56" s="380"/>
      <c r="Q56" s="380"/>
      <c r="R56" s="380"/>
    </row>
    <row r="57" spans="1:18" s="381" customFormat="1" hidden="1" x14ac:dyDescent="0.25">
      <c r="A57" s="396" t="s">
        <v>30</v>
      </c>
      <c r="B57" s="389" t="e">
        <f>+#REF!/1000</f>
        <v>#REF!</v>
      </c>
      <c r="C57" s="389" t="e">
        <f>+#REF!/1000</f>
        <v>#REF!</v>
      </c>
      <c r="D57" s="389" t="e">
        <f>+#REF!/1000</f>
        <v>#REF!</v>
      </c>
      <c r="E57" s="392" t="e">
        <f t="shared" si="1"/>
        <v>#REF!</v>
      </c>
      <c r="F57" s="393" t="e">
        <f t="shared" si="2"/>
        <v>#REF!</v>
      </c>
      <c r="I57" s="382"/>
      <c r="J57" s="380"/>
      <c r="K57" s="380"/>
      <c r="L57" s="380"/>
      <c r="M57" s="380"/>
      <c r="N57" s="380"/>
      <c r="O57" s="380"/>
      <c r="P57" s="380"/>
      <c r="Q57" s="380"/>
      <c r="R57" s="380"/>
    </row>
    <row r="58" spans="1:18" s="381" customFormat="1" ht="26.4" hidden="1" x14ac:dyDescent="0.25">
      <c r="A58" s="388" t="s">
        <v>476</v>
      </c>
      <c r="B58" s="389" t="e">
        <f>+#REF!/1000</f>
        <v>#REF!</v>
      </c>
      <c r="C58" s="389" t="e">
        <f>+#REF!/1000</f>
        <v>#REF!</v>
      </c>
      <c r="D58" s="389" t="e">
        <f>+#REF!/1000</f>
        <v>#REF!</v>
      </c>
      <c r="E58" s="392" t="e">
        <f t="shared" si="1"/>
        <v>#REF!</v>
      </c>
      <c r="F58" s="393" t="e">
        <f t="shared" si="2"/>
        <v>#REF!</v>
      </c>
      <c r="I58" s="382"/>
      <c r="J58" s="380"/>
      <c r="K58" s="380"/>
      <c r="L58" s="380"/>
      <c r="M58" s="380"/>
      <c r="N58" s="380"/>
      <c r="O58" s="380"/>
      <c r="P58" s="380"/>
      <c r="Q58" s="380"/>
      <c r="R58" s="380"/>
    </row>
    <row r="59" spans="1:18" s="381" customFormat="1" hidden="1" x14ac:dyDescent="0.25">
      <c r="A59" s="388" t="s">
        <v>508</v>
      </c>
      <c r="B59" s="389" t="e">
        <f>+#REF!/1000</f>
        <v>#REF!</v>
      </c>
      <c r="C59" s="389" t="e">
        <f>+#REF!/1000</f>
        <v>#REF!</v>
      </c>
      <c r="D59" s="389" t="e">
        <f>+#REF!/1000</f>
        <v>#REF!</v>
      </c>
      <c r="E59" s="392" t="e">
        <f t="shared" si="1"/>
        <v>#REF!</v>
      </c>
      <c r="F59" s="393" t="e">
        <f t="shared" si="2"/>
        <v>#REF!</v>
      </c>
      <c r="I59" s="382"/>
      <c r="J59" s="380"/>
      <c r="K59" s="380"/>
      <c r="L59" s="380"/>
      <c r="M59" s="380"/>
      <c r="N59" s="380"/>
      <c r="O59" s="380"/>
      <c r="P59" s="380"/>
      <c r="Q59" s="380"/>
      <c r="R59" s="380"/>
    </row>
    <row r="60" spans="1:18" s="381" customFormat="1" ht="26.4" hidden="1" x14ac:dyDescent="0.25">
      <c r="A60" s="397" t="s">
        <v>504</v>
      </c>
      <c r="B60" s="398" t="e">
        <f>+#REF!/1000</f>
        <v>#REF!</v>
      </c>
      <c r="C60" s="398" t="e">
        <f>+#REF!/1000</f>
        <v>#REF!</v>
      </c>
      <c r="D60" s="398" t="e">
        <f>+#REF!/1000</f>
        <v>#REF!</v>
      </c>
      <c r="E60" s="392" t="e">
        <f t="shared" si="1"/>
        <v>#REF!</v>
      </c>
      <c r="F60" s="393" t="e">
        <f t="shared" si="2"/>
        <v>#REF!</v>
      </c>
      <c r="I60" s="382"/>
      <c r="J60" s="380"/>
      <c r="K60" s="380"/>
      <c r="L60" s="380"/>
      <c r="M60" s="380"/>
      <c r="N60" s="380"/>
      <c r="O60" s="380"/>
      <c r="P60" s="380"/>
      <c r="Q60" s="380"/>
      <c r="R60" s="380"/>
    </row>
    <row r="61" spans="1:18" s="381" customFormat="1" ht="52.8" hidden="1" x14ac:dyDescent="0.25">
      <c r="A61" s="397" t="s">
        <v>505</v>
      </c>
      <c r="B61" s="398" t="e">
        <f>+#REF!/1000</f>
        <v>#REF!</v>
      </c>
      <c r="C61" s="398" t="e">
        <f>+#REF!/1000</f>
        <v>#REF!</v>
      </c>
      <c r="D61" s="398" t="e">
        <f>+#REF!/1000</f>
        <v>#REF!</v>
      </c>
      <c r="E61" s="392" t="e">
        <f t="shared" si="1"/>
        <v>#REF!</v>
      </c>
      <c r="F61" s="393" t="e">
        <f t="shared" si="2"/>
        <v>#REF!</v>
      </c>
      <c r="I61" s="382"/>
      <c r="J61" s="380"/>
      <c r="K61" s="380"/>
      <c r="L61" s="380"/>
      <c r="M61" s="380"/>
      <c r="N61" s="380"/>
      <c r="O61" s="380"/>
      <c r="P61" s="380"/>
      <c r="Q61" s="380"/>
      <c r="R61" s="380"/>
    </row>
    <row r="62" spans="1:18" s="381" customFormat="1" ht="26.4" hidden="1" x14ac:dyDescent="0.25">
      <c r="A62" s="397" t="s">
        <v>506</v>
      </c>
      <c r="B62" s="398" t="e">
        <f>+#REF!/1000</f>
        <v>#REF!</v>
      </c>
      <c r="C62" s="398" t="e">
        <f>+#REF!/1000</f>
        <v>#REF!</v>
      </c>
      <c r="D62" s="398" t="e">
        <f>+#REF!/1000</f>
        <v>#REF!</v>
      </c>
      <c r="E62" s="392" t="e">
        <f t="shared" si="1"/>
        <v>#REF!</v>
      </c>
      <c r="F62" s="393" t="e">
        <f t="shared" si="2"/>
        <v>#REF!</v>
      </c>
      <c r="I62" s="382"/>
      <c r="J62" s="380"/>
      <c r="K62" s="380"/>
      <c r="L62" s="380"/>
      <c r="M62" s="380"/>
      <c r="N62" s="380"/>
      <c r="O62" s="380"/>
      <c r="P62" s="380"/>
      <c r="Q62" s="380"/>
      <c r="R62" s="380"/>
    </row>
    <row r="63" spans="1:18" s="381" customFormat="1" hidden="1" x14ac:dyDescent="0.25">
      <c r="A63" s="396" t="s">
        <v>30</v>
      </c>
      <c r="B63" s="389" t="e">
        <f>+#REF!/1000</f>
        <v>#REF!</v>
      </c>
      <c r="C63" s="389" t="e">
        <f>+#REF!/1000</f>
        <v>#REF!</v>
      </c>
      <c r="D63" s="389" t="e">
        <f>+#REF!/1000</f>
        <v>#REF!</v>
      </c>
      <c r="E63" s="392" t="e">
        <f t="shared" si="1"/>
        <v>#REF!</v>
      </c>
      <c r="F63" s="393" t="e">
        <f t="shared" si="2"/>
        <v>#REF!</v>
      </c>
      <c r="I63" s="382"/>
      <c r="J63" s="380"/>
      <c r="K63" s="380"/>
      <c r="L63" s="380"/>
      <c r="M63" s="380"/>
      <c r="N63" s="380"/>
      <c r="O63" s="380"/>
      <c r="P63" s="380"/>
      <c r="Q63" s="380"/>
      <c r="R63" s="380"/>
    </row>
    <row r="64" spans="1:18" s="381" customFormat="1" hidden="1" x14ac:dyDescent="0.25">
      <c r="A64" s="388" t="s">
        <v>509</v>
      </c>
      <c r="B64" s="389" t="e">
        <f>+#REF!/1000</f>
        <v>#REF!</v>
      </c>
      <c r="C64" s="389" t="e">
        <f>+#REF!/1000</f>
        <v>#REF!</v>
      </c>
      <c r="D64" s="389" t="e">
        <f>+#REF!/1000</f>
        <v>#REF!</v>
      </c>
      <c r="E64" s="392" t="e">
        <f t="shared" si="1"/>
        <v>#REF!</v>
      </c>
      <c r="F64" s="393" t="e">
        <f t="shared" si="2"/>
        <v>#REF!</v>
      </c>
      <c r="I64" s="382"/>
      <c r="J64" s="380"/>
      <c r="K64" s="380"/>
      <c r="L64" s="380"/>
      <c r="M64" s="380"/>
      <c r="N64" s="380"/>
      <c r="O64" s="380"/>
      <c r="P64" s="380"/>
      <c r="Q64" s="380"/>
      <c r="R64" s="380"/>
    </row>
    <row r="65" spans="1:18" s="381" customFormat="1" ht="26.4" hidden="1" x14ac:dyDescent="0.25">
      <c r="A65" s="397" t="s">
        <v>504</v>
      </c>
      <c r="B65" s="398" t="e">
        <f>+#REF!/1000</f>
        <v>#REF!</v>
      </c>
      <c r="C65" s="398" t="e">
        <f>+#REF!/1000</f>
        <v>#REF!</v>
      </c>
      <c r="D65" s="398" t="e">
        <f>+#REF!/1000</f>
        <v>#REF!</v>
      </c>
      <c r="E65" s="392" t="e">
        <f t="shared" si="1"/>
        <v>#REF!</v>
      </c>
      <c r="F65" s="393" t="e">
        <f t="shared" si="2"/>
        <v>#REF!</v>
      </c>
      <c r="I65" s="382"/>
      <c r="J65" s="380"/>
      <c r="K65" s="380"/>
      <c r="L65" s="380"/>
      <c r="M65" s="380"/>
      <c r="N65" s="380"/>
      <c r="O65" s="380"/>
      <c r="P65" s="380"/>
      <c r="Q65" s="380"/>
      <c r="R65" s="380"/>
    </row>
    <row r="66" spans="1:18" s="381" customFormat="1" ht="52.8" hidden="1" x14ac:dyDescent="0.25">
      <c r="A66" s="397" t="s">
        <v>505</v>
      </c>
      <c r="B66" s="398" t="e">
        <f>+#REF!/1000</f>
        <v>#REF!</v>
      </c>
      <c r="C66" s="398" t="e">
        <f>+#REF!/1000</f>
        <v>#REF!</v>
      </c>
      <c r="D66" s="398" t="e">
        <f>+#REF!/1000</f>
        <v>#REF!</v>
      </c>
      <c r="E66" s="392" t="e">
        <f t="shared" si="1"/>
        <v>#REF!</v>
      </c>
      <c r="F66" s="393" t="e">
        <f t="shared" si="2"/>
        <v>#REF!</v>
      </c>
      <c r="I66" s="382"/>
      <c r="J66" s="380"/>
      <c r="K66" s="380"/>
      <c r="L66" s="380"/>
      <c r="M66" s="380"/>
      <c r="N66" s="380"/>
      <c r="O66" s="380"/>
      <c r="P66" s="380"/>
      <c r="Q66" s="380"/>
      <c r="R66" s="380"/>
    </row>
    <row r="67" spans="1:18" s="381" customFormat="1" ht="26.4" hidden="1" x14ac:dyDescent="0.25">
      <c r="A67" s="397" t="s">
        <v>506</v>
      </c>
      <c r="B67" s="398" t="e">
        <f>+#REF!/1000</f>
        <v>#REF!</v>
      </c>
      <c r="C67" s="398" t="e">
        <f>+#REF!/1000</f>
        <v>#REF!</v>
      </c>
      <c r="D67" s="398" t="e">
        <f>+#REF!/1000</f>
        <v>#REF!</v>
      </c>
      <c r="E67" s="392" t="e">
        <f t="shared" si="1"/>
        <v>#REF!</v>
      </c>
      <c r="F67" s="393" t="e">
        <f t="shared" si="2"/>
        <v>#REF!</v>
      </c>
      <c r="I67" s="382"/>
      <c r="J67" s="380"/>
      <c r="K67" s="380"/>
      <c r="L67" s="380"/>
      <c r="M67" s="380"/>
      <c r="N67" s="380"/>
      <c r="O67" s="380"/>
      <c r="P67" s="380"/>
      <c r="Q67" s="380"/>
      <c r="R67" s="380"/>
    </row>
    <row r="68" spans="1:18" s="381" customFormat="1" hidden="1" x14ac:dyDescent="0.25">
      <c r="A68" s="396" t="s">
        <v>30</v>
      </c>
      <c r="B68" s="389" t="e">
        <f>+#REF!/1000</f>
        <v>#REF!</v>
      </c>
      <c r="C68" s="389" t="e">
        <f>+#REF!/1000</f>
        <v>#REF!</v>
      </c>
      <c r="D68" s="389" t="e">
        <f>+#REF!/1000</f>
        <v>#REF!</v>
      </c>
      <c r="E68" s="392" t="e">
        <f t="shared" si="1"/>
        <v>#REF!</v>
      </c>
      <c r="F68" s="393" t="e">
        <f t="shared" si="2"/>
        <v>#REF!</v>
      </c>
      <c r="I68" s="382"/>
      <c r="J68" s="380"/>
      <c r="K68" s="380"/>
      <c r="L68" s="380"/>
      <c r="M68" s="380"/>
      <c r="N68" s="380"/>
      <c r="O68" s="380"/>
      <c r="P68" s="380"/>
      <c r="Q68" s="380"/>
      <c r="R68" s="380"/>
    </row>
    <row r="69" spans="1:18" s="381" customFormat="1" hidden="1" x14ac:dyDescent="0.25">
      <c r="A69" s="388" t="s">
        <v>510</v>
      </c>
      <c r="B69" s="389" t="e">
        <f>+#REF!/1000</f>
        <v>#REF!</v>
      </c>
      <c r="C69" s="389" t="e">
        <f>+#REF!/1000</f>
        <v>#REF!</v>
      </c>
      <c r="D69" s="389" t="e">
        <f>+#REF!/1000</f>
        <v>#REF!</v>
      </c>
      <c r="E69" s="392" t="e">
        <f t="shared" si="1"/>
        <v>#REF!</v>
      </c>
      <c r="F69" s="393" t="e">
        <f t="shared" si="2"/>
        <v>#REF!</v>
      </c>
      <c r="I69" s="382"/>
      <c r="J69" s="380"/>
      <c r="K69" s="380"/>
      <c r="L69" s="380"/>
      <c r="M69" s="380"/>
      <c r="N69" s="380"/>
      <c r="O69" s="380"/>
      <c r="P69" s="380"/>
      <c r="Q69" s="380"/>
      <c r="R69" s="380"/>
    </row>
    <row r="70" spans="1:18" s="381" customFormat="1" ht="26.4" hidden="1" x14ac:dyDescent="0.25">
      <c r="A70" s="397" t="s">
        <v>504</v>
      </c>
      <c r="B70" s="398" t="e">
        <f>+#REF!/1000</f>
        <v>#REF!</v>
      </c>
      <c r="C70" s="398" t="e">
        <f>+#REF!/1000</f>
        <v>#REF!</v>
      </c>
      <c r="D70" s="398" t="e">
        <f>+#REF!/1000</f>
        <v>#REF!</v>
      </c>
      <c r="E70" s="392" t="e">
        <f t="shared" si="1"/>
        <v>#REF!</v>
      </c>
      <c r="F70" s="393" t="e">
        <f t="shared" si="2"/>
        <v>#REF!</v>
      </c>
      <c r="I70" s="382"/>
      <c r="J70" s="380"/>
      <c r="K70" s="380"/>
      <c r="L70" s="380"/>
      <c r="M70" s="380"/>
      <c r="N70" s="380"/>
      <c r="O70" s="380"/>
      <c r="P70" s="380"/>
      <c r="Q70" s="380"/>
      <c r="R70" s="380"/>
    </row>
    <row r="71" spans="1:18" s="381" customFormat="1" ht="52.8" hidden="1" x14ac:dyDescent="0.25">
      <c r="A71" s="397" t="s">
        <v>505</v>
      </c>
      <c r="B71" s="398" t="e">
        <f>+#REF!/1000</f>
        <v>#REF!</v>
      </c>
      <c r="C71" s="398" t="e">
        <f>+#REF!/1000</f>
        <v>#REF!</v>
      </c>
      <c r="D71" s="398" t="e">
        <f>+#REF!/1000</f>
        <v>#REF!</v>
      </c>
      <c r="E71" s="392" t="e">
        <f t="shared" si="1"/>
        <v>#REF!</v>
      </c>
      <c r="F71" s="393" t="e">
        <f t="shared" si="2"/>
        <v>#REF!</v>
      </c>
      <c r="I71" s="382"/>
      <c r="J71" s="380"/>
      <c r="K71" s="380"/>
      <c r="L71" s="380"/>
      <c r="M71" s="380"/>
      <c r="N71" s="380"/>
      <c r="O71" s="380"/>
      <c r="P71" s="380"/>
      <c r="Q71" s="380"/>
      <c r="R71" s="380"/>
    </row>
    <row r="72" spans="1:18" s="381" customFormat="1" ht="26.4" hidden="1" x14ac:dyDescent="0.25">
      <c r="A72" s="397" t="s">
        <v>506</v>
      </c>
      <c r="B72" s="398" t="e">
        <f>+#REF!/1000</f>
        <v>#REF!</v>
      </c>
      <c r="C72" s="398" t="e">
        <f>+#REF!/1000</f>
        <v>#REF!</v>
      </c>
      <c r="D72" s="398" t="e">
        <f>+#REF!/1000</f>
        <v>#REF!</v>
      </c>
      <c r="E72" s="392" t="e">
        <f t="shared" si="1"/>
        <v>#REF!</v>
      </c>
      <c r="F72" s="393" t="e">
        <f t="shared" si="2"/>
        <v>#REF!</v>
      </c>
      <c r="I72" s="382"/>
      <c r="J72" s="380"/>
      <c r="K72" s="380"/>
      <c r="L72" s="380"/>
      <c r="M72" s="380"/>
      <c r="N72" s="380"/>
      <c r="O72" s="380"/>
      <c r="P72" s="380"/>
      <c r="Q72" s="380"/>
      <c r="R72" s="380"/>
    </row>
    <row r="73" spans="1:18" s="381" customFormat="1" ht="26.4" hidden="1" x14ac:dyDescent="0.25">
      <c r="A73" s="397" t="s">
        <v>511</v>
      </c>
      <c r="B73" s="398" t="e">
        <f>+#REF!/1000</f>
        <v>#REF!</v>
      </c>
      <c r="C73" s="398" t="e">
        <f>+#REF!/1000</f>
        <v>#REF!</v>
      </c>
      <c r="D73" s="398" t="e">
        <f>+#REF!/1000</f>
        <v>#REF!</v>
      </c>
      <c r="E73" s="392" t="e">
        <f t="shared" si="1"/>
        <v>#REF!</v>
      </c>
      <c r="F73" s="393" t="e">
        <f t="shared" si="2"/>
        <v>#REF!</v>
      </c>
      <c r="I73" s="382"/>
      <c r="J73" s="380"/>
      <c r="K73" s="380"/>
      <c r="L73" s="380"/>
      <c r="M73" s="380"/>
      <c r="N73" s="380"/>
      <c r="O73" s="380"/>
      <c r="P73" s="380"/>
      <c r="Q73" s="380"/>
      <c r="R73" s="380"/>
    </row>
    <row r="74" spans="1:18" s="381" customFormat="1" ht="26.4" hidden="1" x14ac:dyDescent="0.25">
      <c r="A74" s="397" t="s">
        <v>512</v>
      </c>
      <c r="B74" s="398" t="e">
        <f>+#REF!/1000</f>
        <v>#REF!</v>
      </c>
      <c r="C74" s="398" t="e">
        <f>+#REF!/1000</f>
        <v>#REF!</v>
      </c>
      <c r="D74" s="398" t="e">
        <f>+#REF!/1000</f>
        <v>#REF!</v>
      </c>
      <c r="E74" s="392" t="e">
        <f t="shared" si="1"/>
        <v>#REF!</v>
      </c>
      <c r="F74" s="393" t="e">
        <f t="shared" si="2"/>
        <v>#REF!</v>
      </c>
      <c r="I74" s="382"/>
      <c r="J74" s="380"/>
      <c r="K74" s="380"/>
      <c r="L74" s="380"/>
      <c r="M74" s="380"/>
      <c r="N74" s="380"/>
      <c r="O74" s="380"/>
      <c r="P74" s="380"/>
      <c r="Q74" s="380"/>
      <c r="R74" s="380"/>
    </row>
    <row r="75" spans="1:18" s="381" customFormat="1" hidden="1" x14ac:dyDescent="0.25">
      <c r="A75" s="397" t="s">
        <v>513</v>
      </c>
      <c r="B75" s="398" t="e">
        <f>+#REF!/1000</f>
        <v>#REF!</v>
      </c>
      <c r="C75" s="398" t="e">
        <f>+#REF!/1000</f>
        <v>#REF!</v>
      </c>
      <c r="D75" s="398" t="e">
        <f>+#REF!/1000</f>
        <v>#REF!</v>
      </c>
      <c r="E75" s="392" t="e">
        <f t="shared" si="1"/>
        <v>#REF!</v>
      </c>
      <c r="F75" s="393" t="e">
        <f t="shared" si="2"/>
        <v>#REF!</v>
      </c>
      <c r="I75" s="382"/>
      <c r="J75" s="380"/>
      <c r="K75" s="380"/>
      <c r="L75" s="380"/>
      <c r="M75" s="380"/>
      <c r="N75" s="380"/>
      <c r="O75" s="380"/>
      <c r="P75" s="380"/>
      <c r="Q75" s="380"/>
      <c r="R75" s="380"/>
    </row>
    <row r="76" spans="1:18" s="381" customFormat="1" hidden="1" x14ac:dyDescent="0.25">
      <c r="A76" s="391" t="s">
        <v>514</v>
      </c>
      <c r="B76" s="398" t="e">
        <f>+#REF!/1000</f>
        <v>#REF!</v>
      </c>
      <c r="C76" s="398" t="e">
        <f>+#REF!/1000</f>
        <v>#REF!</v>
      </c>
      <c r="D76" s="398" t="e">
        <f>+#REF!/1000</f>
        <v>#REF!</v>
      </c>
      <c r="E76" s="392" t="e">
        <f t="shared" ref="E76:E139" si="4">D76/B76*100</f>
        <v>#REF!</v>
      </c>
      <c r="F76" s="393" t="e">
        <f t="shared" si="2"/>
        <v>#REF!</v>
      </c>
      <c r="I76" s="382"/>
      <c r="J76" s="380"/>
      <c r="K76" s="380"/>
      <c r="L76" s="380"/>
      <c r="M76" s="380"/>
      <c r="N76" s="380"/>
      <c r="O76" s="380"/>
      <c r="P76" s="380"/>
      <c r="Q76" s="380"/>
      <c r="R76" s="380"/>
    </row>
    <row r="77" spans="1:18" s="381" customFormat="1" hidden="1" x14ac:dyDescent="0.25">
      <c r="A77" s="397" t="s">
        <v>515</v>
      </c>
      <c r="B77" s="398" t="e">
        <f>+#REF!/1000</f>
        <v>#REF!</v>
      </c>
      <c r="C77" s="398" t="e">
        <f>+#REF!/1000</f>
        <v>#REF!</v>
      </c>
      <c r="D77" s="398" t="e">
        <f>+#REF!/1000</f>
        <v>#REF!</v>
      </c>
      <c r="E77" s="392" t="e">
        <f t="shared" si="4"/>
        <v>#REF!</v>
      </c>
      <c r="F77" s="393" t="e">
        <f t="shared" ref="F77:F140" si="5">D77/C77*100</f>
        <v>#REF!</v>
      </c>
      <c r="I77" s="382"/>
      <c r="J77" s="380"/>
      <c r="K77" s="380"/>
      <c r="L77" s="380"/>
      <c r="M77" s="380"/>
      <c r="N77" s="380"/>
      <c r="O77" s="380"/>
      <c r="P77" s="380"/>
      <c r="Q77" s="380"/>
      <c r="R77" s="380"/>
    </row>
    <row r="78" spans="1:18" s="381" customFormat="1" ht="26.4" hidden="1" x14ac:dyDescent="0.25">
      <c r="A78" s="397" t="s">
        <v>516</v>
      </c>
      <c r="B78" s="398" t="e">
        <f>+#REF!/1000</f>
        <v>#REF!</v>
      </c>
      <c r="C78" s="398" t="e">
        <f>+#REF!/1000</f>
        <v>#REF!</v>
      </c>
      <c r="D78" s="398" t="e">
        <f>+#REF!/1000</f>
        <v>#REF!</v>
      </c>
      <c r="E78" s="392" t="e">
        <f t="shared" si="4"/>
        <v>#REF!</v>
      </c>
      <c r="F78" s="393" t="e">
        <f t="shared" si="5"/>
        <v>#REF!</v>
      </c>
      <c r="I78" s="382"/>
      <c r="J78" s="380"/>
      <c r="K78" s="380"/>
      <c r="L78" s="380"/>
      <c r="M78" s="380"/>
      <c r="N78" s="380"/>
      <c r="O78" s="380"/>
      <c r="P78" s="380"/>
      <c r="Q78" s="380"/>
      <c r="R78" s="380"/>
    </row>
    <row r="79" spans="1:18" s="381" customFormat="1" hidden="1" x14ac:dyDescent="0.25">
      <c r="A79" s="397" t="s">
        <v>517</v>
      </c>
      <c r="B79" s="398" t="e">
        <f>+#REF!/1000</f>
        <v>#REF!</v>
      </c>
      <c r="C79" s="398" t="e">
        <f>+#REF!/1000</f>
        <v>#REF!</v>
      </c>
      <c r="D79" s="398" t="e">
        <f>+#REF!/1000</f>
        <v>#REF!</v>
      </c>
      <c r="E79" s="392" t="e">
        <f t="shared" si="4"/>
        <v>#REF!</v>
      </c>
      <c r="F79" s="393" t="e">
        <f t="shared" si="5"/>
        <v>#REF!</v>
      </c>
      <c r="I79" s="382"/>
      <c r="J79" s="380"/>
      <c r="K79" s="380"/>
      <c r="L79" s="380"/>
      <c r="M79" s="380"/>
      <c r="N79" s="380"/>
      <c r="O79" s="380"/>
      <c r="P79" s="380"/>
      <c r="Q79" s="380"/>
      <c r="R79" s="380"/>
    </row>
    <row r="80" spans="1:18" s="381" customFormat="1" hidden="1" x14ac:dyDescent="0.25">
      <c r="A80" s="397" t="s">
        <v>518</v>
      </c>
      <c r="B80" s="398" t="e">
        <f>+#REF!/1000</f>
        <v>#REF!</v>
      </c>
      <c r="C80" s="398" t="e">
        <f>+#REF!/1000</f>
        <v>#REF!</v>
      </c>
      <c r="D80" s="398" t="e">
        <f>+#REF!/1000</f>
        <v>#REF!</v>
      </c>
      <c r="E80" s="392" t="e">
        <f t="shared" si="4"/>
        <v>#REF!</v>
      </c>
      <c r="F80" s="393" t="e">
        <f t="shared" si="5"/>
        <v>#REF!</v>
      </c>
      <c r="I80" s="382"/>
      <c r="J80" s="380"/>
      <c r="K80" s="380"/>
      <c r="L80" s="380"/>
      <c r="M80" s="380"/>
      <c r="N80" s="380"/>
      <c r="O80" s="380"/>
      <c r="P80" s="380"/>
      <c r="Q80" s="380"/>
      <c r="R80" s="380"/>
    </row>
    <row r="81" spans="1:18" s="381" customFormat="1" hidden="1" x14ac:dyDescent="0.25">
      <c r="A81" s="396" t="s">
        <v>30</v>
      </c>
      <c r="B81" s="389" t="e">
        <f>+#REF!/1000</f>
        <v>#REF!</v>
      </c>
      <c r="C81" s="389" t="e">
        <f>+#REF!/1000</f>
        <v>#REF!</v>
      </c>
      <c r="D81" s="389" t="e">
        <f>+#REF!/1000</f>
        <v>#REF!</v>
      </c>
      <c r="E81" s="392" t="e">
        <f t="shared" si="4"/>
        <v>#REF!</v>
      </c>
      <c r="F81" s="393" t="e">
        <f t="shared" si="5"/>
        <v>#REF!</v>
      </c>
      <c r="I81" s="382"/>
      <c r="J81" s="380"/>
      <c r="K81" s="380"/>
      <c r="L81" s="380"/>
      <c r="M81" s="380"/>
      <c r="N81" s="380"/>
      <c r="O81" s="380"/>
      <c r="P81" s="380"/>
      <c r="Q81" s="380"/>
      <c r="R81" s="380"/>
    </row>
    <row r="82" spans="1:18" s="381" customFormat="1" ht="26.4" hidden="1" x14ac:dyDescent="0.25">
      <c r="A82" s="388" t="s">
        <v>477</v>
      </c>
      <c r="B82" s="389" t="e">
        <f>+#REF!/1000</f>
        <v>#REF!</v>
      </c>
      <c r="C82" s="389" t="e">
        <f>+#REF!/1000</f>
        <v>#REF!</v>
      </c>
      <c r="D82" s="389" t="e">
        <f>+#REF!/1000</f>
        <v>#REF!</v>
      </c>
      <c r="E82" s="392" t="e">
        <f t="shared" si="4"/>
        <v>#REF!</v>
      </c>
      <c r="F82" s="393" t="e">
        <f t="shared" si="5"/>
        <v>#REF!</v>
      </c>
      <c r="I82" s="382"/>
      <c r="J82" s="380"/>
      <c r="K82" s="380"/>
      <c r="L82" s="380"/>
      <c r="M82" s="380"/>
      <c r="N82" s="380"/>
      <c r="O82" s="380"/>
      <c r="P82" s="380"/>
      <c r="Q82" s="380"/>
      <c r="R82" s="380"/>
    </row>
    <row r="83" spans="1:18" s="381" customFormat="1" hidden="1" x14ac:dyDescent="0.25">
      <c r="A83" s="388" t="s">
        <v>519</v>
      </c>
      <c r="B83" s="389" t="e">
        <f>+#REF!/1000</f>
        <v>#REF!</v>
      </c>
      <c r="C83" s="389" t="e">
        <f>+#REF!/1000</f>
        <v>#REF!</v>
      </c>
      <c r="D83" s="389" t="e">
        <f>+#REF!/1000</f>
        <v>#REF!</v>
      </c>
      <c r="E83" s="392" t="e">
        <f t="shared" si="4"/>
        <v>#REF!</v>
      </c>
      <c r="F83" s="393" t="e">
        <f t="shared" si="5"/>
        <v>#REF!</v>
      </c>
      <c r="I83" s="382"/>
      <c r="J83" s="380"/>
      <c r="K83" s="380"/>
      <c r="L83" s="380"/>
      <c r="M83" s="380"/>
      <c r="N83" s="380"/>
      <c r="O83" s="380"/>
      <c r="P83" s="380"/>
      <c r="Q83" s="380"/>
      <c r="R83" s="380"/>
    </row>
    <row r="84" spans="1:18" s="381" customFormat="1" ht="26.4" hidden="1" x14ac:dyDescent="0.25">
      <c r="A84" s="397" t="s">
        <v>504</v>
      </c>
      <c r="B84" s="398" t="e">
        <f>+#REF!/1000</f>
        <v>#REF!</v>
      </c>
      <c r="C84" s="398" t="e">
        <f>+#REF!/1000</f>
        <v>#REF!</v>
      </c>
      <c r="D84" s="398" t="e">
        <f>+#REF!/1000</f>
        <v>#REF!</v>
      </c>
      <c r="E84" s="392" t="e">
        <f t="shared" si="4"/>
        <v>#REF!</v>
      </c>
      <c r="F84" s="393" t="e">
        <f t="shared" si="5"/>
        <v>#REF!</v>
      </c>
      <c r="I84" s="382"/>
      <c r="J84" s="380"/>
      <c r="K84" s="380"/>
      <c r="L84" s="380"/>
      <c r="M84" s="380"/>
      <c r="N84" s="380"/>
      <c r="O84" s="380"/>
      <c r="P84" s="380"/>
      <c r="Q84" s="380"/>
      <c r="R84" s="380"/>
    </row>
    <row r="85" spans="1:18" s="381" customFormat="1" ht="52.8" hidden="1" x14ac:dyDescent="0.25">
      <c r="A85" s="397" t="s">
        <v>505</v>
      </c>
      <c r="B85" s="398" t="e">
        <f>+#REF!/1000</f>
        <v>#REF!</v>
      </c>
      <c r="C85" s="398" t="e">
        <f>+#REF!/1000</f>
        <v>#REF!</v>
      </c>
      <c r="D85" s="398" t="e">
        <f>+#REF!/1000</f>
        <v>#REF!</v>
      </c>
      <c r="E85" s="392" t="e">
        <f t="shared" si="4"/>
        <v>#REF!</v>
      </c>
      <c r="F85" s="393" t="e">
        <f t="shared" si="5"/>
        <v>#REF!</v>
      </c>
      <c r="I85" s="382"/>
      <c r="J85" s="380"/>
      <c r="K85" s="380"/>
      <c r="L85" s="380"/>
      <c r="M85" s="380"/>
      <c r="N85" s="380"/>
      <c r="O85" s="380"/>
      <c r="P85" s="380"/>
      <c r="Q85" s="380"/>
      <c r="R85" s="380"/>
    </row>
    <row r="86" spans="1:18" s="381" customFormat="1" ht="26.4" hidden="1" x14ac:dyDescent="0.25">
      <c r="A86" s="397" t="s">
        <v>506</v>
      </c>
      <c r="B86" s="398" t="e">
        <f>+#REF!/1000</f>
        <v>#REF!</v>
      </c>
      <c r="C86" s="398" t="e">
        <f>+#REF!/1000</f>
        <v>#REF!</v>
      </c>
      <c r="D86" s="398" t="e">
        <f>+#REF!/1000</f>
        <v>#REF!</v>
      </c>
      <c r="E86" s="392" t="e">
        <f t="shared" si="4"/>
        <v>#REF!</v>
      </c>
      <c r="F86" s="393" t="e">
        <f t="shared" si="5"/>
        <v>#REF!</v>
      </c>
      <c r="I86" s="382"/>
      <c r="J86" s="380"/>
      <c r="K86" s="380"/>
      <c r="L86" s="380"/>
      <c r="M86" s="380"/>
      <c r="N86" s="380"/>
      <c r="O86" s="380"/>
      <c r="P86" s="380"/>
      <c r="Q86" s="380"/>
      <c r="R86" s="380"/>
    </row>
    <row r="87" spans="1:18" s="381" customFormat="1" hidden="1" x14ac:dyDescent="0.25">
      <c r="A87" s="396" t="s">
        <v>30</v>
      </c>
      <c r="B87" s="389" t="e">
        <f>+#REF!/1000</f>
        <v>#REF!</v>
      </c>
      <c r="C87" s="389" t="e">
        <f>+#REF!/1000</f>
        <v>#REF!</v>
      </c>
      <c r="D87" s="389" t="e">
        <f>+#REF!/1000</f>
        <v>#REF!</v>
      </c>
      <c r="E87" s="392" t="e">
        <f t="shared" si="4"/>
        <v>#REF!</v>
      </c>
      <c r="F87" s="393" t="e">
        <f t="shared" si="5"/>
        <v>#REF!</v>
      </c>
      <c r="I87" s="382"/>
      <c r="J87" s="380"/>
      <c r="K87" s="380"/>
      <c r="L87" s="380"/>
      <c r="M87" s="380"/>
      <c r="N87" s="380"/>
      <c r="O87" s="380"/>
      <c r="P87" s="380"/>
      <c r="Q87" s="380"/>
      <c r="R87" s="380"/>
    </row>
    <row r="88" spans="1:18" s="381" customFormat="1" ht="39.6" hidden="1" x14ac:dyDescent="0.25">
      <c r="A88" s="388" t="s">
        <v>520</v>
      </c>
      <c r="B88" s="389" t="e">
        <f>+#REF!/1000</f>
        <v>#REF!</v>
      </c>
      <c r="C88" s="389" t="e">
        <f>+#REF!/1000</f>
        <v>#REF!</v>
      </c>
      <c r="D88" s="389" t="e">
        <f>+#REF!/1000</f>
        <v>#REF!</v>
      </c>
      <c r="E88" s="392" t="e">
        <f t="shared" si="4"/>
        <v>#REF!</v>
      </c>
      <c r="F88" s="393" t="e">
        <f t="shared" si="5"/>
        <v>#REF!</v>
      </c>
      <c r="I88" s="382"/>
      <c r="J88" s="380"/>
      <c r="K88" s="380"/>
      <c r="L88" s="380"/>
      <c r="M88" s="380"/>
      <c r="N88" s="380"/>
      <c r="O88" s="380"/>
      <c r="P88" s="380"/>
      <c r="Q88" s="380"/>
      <c r="R88" s="380"/>
    </row>
    <row r="89" spans="1:18" s="381" customFormat="1" ht="39.6" hidden="1" x14ac:dyDescent="0.25">
      <c r="A89" s="397" t="s">
        <v>520</v>
      </c>
      <c r="B89" s="398" t="e">
        <f>+#REF!/1000</f>
        <v>#REF!</v>
      </c>
      <c r="C89" s="398" t="e">
        <f>+#REF!/1000</f>
        <v>#REF!</v>
      </c>
      <c r="D89" s="398" t="e">
        <f>+#REF!/1000</f>
        <v>#REF!</v>
      </c>
      <c r="E89" s="392" t="e">
        <f t="shared" si="4"/>
        <v>#REF!</v>
      </c>
      <c r="F89" s="393" t="e">
        <f t="shared" si="5"/>
        <v>#REF!</v>
      </c>
      <c r="I89" s="382"/>
      <c r="J89" s="380"/>
      <c r="K89" s="380"/>
      <c r="L89" s="380"/>
      <c r="M89" s="380"/>
      <c r="N89" s="380"/>
      <c r="O89" s="380"/>
      <c r="P89" s="380"/>
      <c r="Q89" s="380"/>
      <c r="R89" s="380"/>
    </row>
    <row r="90" spans="1:18" s="381" customFormat="1" ht="26.4" hidden="1" x14ac:dyDescent="0.25">
      <c r="A90" s="397" t="s">
        <v>511</v>
      </c>
      <c r="B90" s="398" t="e">
        <f>+#REF!/1000</f>
        <v>#REF!</v>
      </c>
      <c r="C90" s="398" t="e">
        <f>+#REF!/1000</f>
        <v>#REF!</v>
      </c>
      <c r="D90" s="398" t="e">
        <f>+#REF!/1000</f>
        <v>#REF!</v>
      </c>
      <c r="E90" s="392" t="e">
        <f t="shared" si="4"/>
        <v>#REF!</v>
      </c>
      <c r="F90" s="393" t="e">
        <f t="shared" si="5"/>
        <v>#REF!</v>
      </c>
      <c r="I90" s="382"/>
      <c r="J90" s="380"/>
      <c r="K90" s="380"/>
      <c r="L90" s="380"/>
      <c r="M90" s="380"/>
      <c r="N90" s="380"/>
      <c r="O90" s="380"/>
      <c r="P90" s="380"/>
      <c r="Q90" s="380"/>
      <c r="R90" s="380"/>
    </row>
    <row r="91" spans="1:18" s="381" customFormat="1" ht="26.4" hidden="1" x14ac:dyDescent="0.25">
      <c r="A91" s="397" t="s">
        <v>512</v>
      </c>
      <c r="B91" s="398" t="e">
        <f>+#REF!/1000</f>
        <v>#REF!</v>
      </c>
      <c r="C91" s="398" t="e">
        <f>+#REF!/1000</f>
        <v>#REF!</v>
      </c>
      <c r="D91" s="398" t="e">
        <f>+#REF!/1000</f>
        <v>#REF!</v>
      </c>
      <c r="E91" s="392" t="e">
        <f t="shared" si="4"/>
        <v>#REF!</v>
      </c>
      <c r="F91" s="393" t="e">
        <f t="shared" si="5"/>
        <v>#REF!</v>
      </c>
      <c r="I91" s="382"/>
      <c r="J91" s="380"/>
      <c r="K91" s="380"/>
      <c r="L91" s="380"/>
      <c r="M91" s="380"/>
      <c r="N91" s="380"/>
      <c r="O91" s="380"/>
      <c r="P91" s="380"/>
      <c r="Q91" s="380"/>
      <c r="R91" s="380"/>
    </row>
    <row r="92" spans="1:18" s="381" customFormat="1" hidden="1" x14ac:dyDescent="0.25">
      <c r="A92" s="396" t="s">
        <v>30</v>
      </c>
      <c r="B92" s="389" t="e">
        <f>+#REF!/1000</f>
        <v>#REF!</v>
      </c>
      <c r="C92" s="389" t="e">
        <f>+#REF!/1000</f>
        <v>#REF!</v>
      </c>
      <c r="D92" s="389" t="e">
        <f>+#REF!/1000</f>
        <v>#REF!</v>
      </c>
      <c r="E92" s="392" t="e">
        <f t="shared" si="4"/>
        <v>#REF!</v>
      </c>
      <c r="F92" s="393" t="e">
        <f t="shared" si="5"/>
        <v>#REF!</v>
      </c>
      <c r="I92" s="382"/>
      <c r="J92" s="380"/>
      <c r="K92" s="380"/>
      <c r="L92" s="380"/>
      <c r="M92" s="380"/>
      <c r="N92" s="380"/>
      <c r="O92" s="380"/>
      <c r="P92" s="380"/>
      <c r="Q92" s="380"/>
      <c r="R92" s="380"/>
    </row>
    <row r="93" spans="1:18" s="381" customFormat="1" hidden="1" x14ac:dyDescent="0.25">
      <c r="A93" s="388" t="s">
        <v>521</v>
      </c>
      <c r="B93" s="389" t="e">
        <f>+#REF!/1000</f>
        <v>#REF!</v>
      </c>
      <c r="C93" s="389" t="e">
        <f>+#REF!/1000</f>
        <v>#REF!</v>
      </c>
      <c r="D93" s="389" t="e">
        <f>+#REF!/1000</f>
        <v>#REF!</v>
      </c>
      <c r="E93" s="392" t="e">
        <f t="shared" si="4"/>
        <v>#REF!</v>
      </c>
      <c r="F93" s="393" t="e">
        <f t="shared" si="5"/>
        <v>#REF!</v>
      </c>
      <c r="I93" s="382"/>
      <c r="J93" s="380"/>
      <c r="K93" s="380"/>
      <c r="L93" s="380"/>
      <c r="M93" s="380"/>
      <c r="N93" s="380"/>
      <c r="O93" s="380"/>
      <c r="P93" s="380"/>
      <c r="Q93" s="380"/>
      <c r="R93" s="380"/>
    </row>
    <row r="94" spans="1:18" s="381" customFormat="1" hidden="1" x14ac:dyDescent="0.25">
      <c r="A94" s="397" t="s">
        <v>522</v>
      </c>
      <c r="B94" s="398" t="e">
        <f>+#REF!/1000</f>
        <v>#REF!</v>
      </c>
      <c r="C94" s="398" t="e">
        <f>+#REF!/1000</f>
        <v>#REF!</v>
      </c>
      <c r="D94" s="398" t="e">
        <f>+#REF!/1000</f>
        <v>#REF!</v>
      </c>
      <c r="E94" s="392" t="e">
        <f t="shared" si="4"/>
        <v>#REF!</v>
      </c>
      <c r="F94" s="393" t="e">
        <f t="shared" si="5"/>
        <v>#REF!</v>
      </c>
      <c r="I94" s="382"/>
      <c r="J94" s="380"/>
      <c r="K94" s="380"/>
      <c r="L94" s="380"/>
      <c r="M94" s="380"/>
      <c r="N94" s="380"/>
      <c r="O94" s="380"/>
      <c r="P94" s="380"/>
      <c r="Q94" s="380"/>
      <c r="R94" s="380"/>
    </row>
    <row r="95" spans="1:18" s="381" customFormat="1" hidden="1" x14ac:dyDescent="0.25">
      <c r="A95" s="397" t="s">
        <v>513</v>
      </c>
      <c r="B95" s="398" t="e">
        <f>+#REF!/1000</f>
        <v>#REF!</v>
      </c>
      <c r="C95" s="398" t="e">
        <f>+#REF!/1000</f>
        <v>#REF!</v>
      </c>
      <c r="D95" s="398" t="e">
        <f>+#REF!/1000</f>
        <v>#REF!</v>
      </c>
      <c r="E95" s="392" t="e">
        <f t="shared" si="4"/>
        <v>#REF!</v>
      </c>
      <c r="F95" s="393" t="e">
        <f t="shared" si="5"/>
        <v>#REF!</v>
      </c>
      <c r="I95" s="382"/>
      <c r="J95" s="380"/>
      <c r="K95" s="380"/>
      <c r="L95" s="380"/>
      <c r="M95" s="380"/>
      <c r="N95" s="380"/>
      <c r="O95" s="380"/>
      <c r="P95" s="380"/>
      <c r="Q95" s="380"/>
      <c r="R95" s="380"/>
    </row>
    <row r="96" spans="1:18" s="381" customFormat="1" hidden="1" x14ac:dyDescent="0.25">
      <c r="A96" s="397" t="s">
        <v>523</v>
      </c>
      <c r="B96" s="398" t="e">
        <f>+#REF!/1000</f>
        <v>#REF!</v>
      </c>
      <c r="C96" s="398" t="e">
        <f>+#REF!/1000</f>
        <v>#REF!</v>
      </c>
      <c r="D96" s="398" t="e">
        <f>+#REF!/1000</f>
        <v>#REF!</v>
      </c>
      <c r="E96" s="392" t="e">
        <f t="shared" si="4"/>
        <v>#REF!</v>
      </c>
      <c r="F96" s="393" t="e">
        <f t="shared" si="5"/>
        <v>#REF!</v>
      </c>
      <c r="I96" s="382"/>
      <c r="J96" s="380"/>
      <c r="K96" s="380"/>
      <c r="L96" s="380"/>
      <c r="M96" s="380"/>
      <c r="N96" s="380"/>
      <c r="O96" s="380"/>
      <c r="P96" s="380"/>
      <c r="Q96" s="380"/>
      <c r="R96" s="380"/>
    </row>
    <row r="97" spans="1:18" s="381" customFormat="1" hidden="1" x14ac:dyDescent="0.25">
      <c r="A97" s="396" t="s">
        <v>30</v>
      </c>
      <c r="B97" s="389" t="e">
        <f>+#REF!/1000</f>
        <v>#REF!</v>
      </c>
      <c r="C97" s="389" t="e">
        <f>+#REF!/1000</f>
        <v>#REF!</v>
      </c>
      <c r="D97" s="389" t="e">
        <f>+#REF!/1000</f>
        <v>#REF!</v>
      </c>
      <c r="E97" s="392" t="e">
        <f t="shared" si="4"/>
        <v>#REF!</v>
      </c>
      <c r="F97" s="393" t="e">
        <f t="shared" si="5"/>
        <v>#REF!</v>
      </c>
      <c r="I97" s="382"/>
      <c r="J97" s="380"/>
      <c r="K97" s="380"/>
      <c r="L97" s="380"/>
      <c r="M97" s="380"/>
      <c r="N97" s="380"/>
      <c r="O97" s="380"/>
      <c r="P97" s="380"/>
      <c r="Q97" s="380"/>
      <c r="R97" s="380"/>
    </row>
    <row r="98" spans="1:18" s="381" customFormat="1" hidden="1" x14ac:dyDescent="0.25">
      <c r="A98" s="388" t="s">
        <v>524</v>
      </c>
      <c r="B98" s="389" t="e">
        <f>+#REF!/1000</f>
        <v>#REF!</v>
      </c>
      <c r="C98" s="389" t="e">
        <f>+#REF!/1000</f>
        <v>#REF!</v>
      </c>
      <c r="D98" s="389" t="e">
        <f>+#REF!/1000</f>
        <v>#REF!</v>
      </c>
      <c r="E98" s="392" t="e">
        <f t="shared" si="4"/>
        <v>#REF!</v>
      </c>
      <c r="F98" s="393" t="e">
        <f t="shared" si="5"/>
        <v>#REF!</v>
      </c>
      <c r="I98" s="382"/>
      <c r="J98" s="380"/>
      <c r="K98" s="380"/>
      <c r="L98" s="380"/>
      <c r="M98" s="380"/>
      <c r="N98" s="380"/>
      <c r="O98" s="380"/>
      <c r="P98" s="380"/>
      <c r="Q98" s="380"/>
      <c r="R98" s="380"/>
    </row>
    <row r="99" spans="1:18" s="381" customFormat="1" ht="26.4" hidden="1" x14ac:dyDescent="0.25">
      <c r="A99" s="397" t="s">
        <v>504</v>
      </c>
      <c r="B99" s="398" t="e">
        <f>+#REF!/1000</f>
        <v>#REF!</v>
      </c>
      <c r="C99" s="398" t="e">
        <f>+#REF!/1000</f>
        <v>#REF!</v>
      </c>
      <c r="D99" s="398" t="e">
        <f>+#REF!/1000</f>
        <v>#REF!</v>
      </c>
      <c r="E99" s="392" t="e">
        <f t="shared" si="4"/>
        <v>#REF!</v>
      </c>
      <c r="F99" s="393" t="e">
        <f t="shared" si="5"/>
        <v>#REF!</v>
      </c>
      <c r="I99" s="382"/>
      <c r="J99" s="380"/>
      <c r="K99" s="380"/>
      <c r="L99" s="380"/>
      <c r="M99" s="380"/>
      <c r="N99" s="380"/>
      <c r="O99" s="380"/>
      <c r="P99" s="380"/>
      <c r="Q99" s="380"/>
      <c r="R99" s="380"/>
    </row>
    <row r="100" spans="1:18" s="381" customFormat="1" ht="52.8" hidden="1" x14ac:dyDescent="0.25">
      <c r="A100" s="397" t="s">
        <v>505</v>
      </c>
      <c r="B100" s="398" t="e">
        <f>+#REF!/1000</f>
        <v>#REF!</v>
      </c>
      <c r="C100" s="398" t="e">
        <f>+#REF!/1000</f>
        <v>#REF!</v>
      </c>
      <c r="D100" s="398" t="e">
        <f>+#REF!/1000</f>
        <v>#REF!</v>
      </c>
      <c r="E100" s="392" t="e">
        <f t="shared" si="4"/>
        <v>#REF!</v>
      </c>
      <c r="F100" s="393" t="e">
        <f t="shared" si="5"/>
        <v>#REF!</v>
      </c>
      <c r="I100" s="382"/>
      <c r="J100" s="380"/>
      <c r="K100" s="380"/>
      <c r="L100" s="380"/>
      <c r="M100" s="380"/>
      <c r="N100" s="380"/>
      <c r="O100" s="380"/>
      <c r="P100" s="380"/>
      <c r="Q100" s="380"/>
      <c r="R100" s="380"/>
    </row>
    <row r="101" spans="1:18" s="381" customFormat="1" ht="26.4" hidden="1" x14ac:dyDescent="0.25">
      <c r="A101" s="397" t="s">
        <v>506</v>
      </c>
      <c r="B101" s="398" t="e">
        <f>+#REF!/1000</f>
        <v>#REF!</v>
      </c>
      <c r="C101" s="398" t="e">
        <f>+#REF!/1000</f>
        <v>#REF!</v>
      </c>
      <c r="D101" s="398" t="e">
        <f>+#REF!/1000</f>
        <v>#REF!</v>
      </c>
      <c r="E101" s="392" t="e">
        <f t="shared" si="4"/>
        <v>#REF!</v>
      </c>
      <c r="F101" s="393" t="e">
        <f t="shared" si="5"/>
        <v>#REF!</v>
      </c>
      <c r="I101" s="382"/>
      <c r="J101" s="380"/>
      <c r="K101" s="380"/>
      <c r="L101" s="380"/>
      <c r="M101" s="380"/>
      <c r="N101" s="380"/>
      <c r="O101" s="380"/>
      <c r="P101" s="380"/>
      <c r="Q101" s="380"/>
      <c r="R101" s="380"/>
    </row>
    <row r="102" spans="1:18" s="381" customFormat="1" ht="26.4" hidden="1" x14ac:dyDescent="0.25">
      <c r="A102" s="397" t="s">
        <v>511</v>
      </c>
      <c r="B102" s="398" t="e">
        <f>+#REF!/1000</f>
        <v>#REF!</v>
      </c>
      <c r="C102" s="398" t="e">
        <f>+#REF!/1000</f>
        <v>#REF!</v>
      </c>
      <c r="D102" s="398" t="e">
        <f>+#REF!/1000</f>
        <v>#REF!</v>
      </c>
      <c r="E102" s="392" t="e">
        <f t="shared" si="4"/>
        <v>#REF!</v>
      </c>
      <c r="F102" s="393" t="e">
        <f t="shared" si="5"/>
        <v>#REF!</v>
      </c>
      <c r="I102" s="382"/>
      <c r="J102" s="380"/>
      <c r="K102" s="380"/>
      <c r="L102" s="380"/>
      <c r="M102" s="380"/>
      <c r="N102" s="380"/>
      <c r="O102" s="380"/>
      <c r="P102" s="380"/>
      <c r="Q102" s="380"/>
      <c r="R102" s="380"/>
    </row>
    <row r="103" spans="1:18" s="381" customFormat="1" ht="26.4" hidden="1" x14ac:dyDescent="0.25">
      <c r="A103" s="397" t="s">
        <v>512</v>
      </c>
      <c r="B103" s="398" t="e">
        <f>+#REF!/1000</f>
        <v>#REF!</v>
      </c>
      <c r="C103" s="398" t="e">
        <f>+#REF!/1000</f>
        <v>#REF!</v>
      </c>
      <c r="D103" s="398" t="e">
        <f>+#REF!/1000</f>
        <v>#REF!</v>
      </c>
      <c r="E103" s="392" t="e">
        <f t="shared" si="4"/>
        <v>#REF!</v>
      </c>
      <c r="F103" s="393" t="e">
        <f t="shared" si="5"/>
        <v>#REF!</v>
      </c>
      <c r="I103" s="382"/>
      <c r="J103" s="380"/>
      <c r="K103" s="380"/>
      <c r="L103" s="380"/>
      <c r="M103" s="380"/>
      <c r="N103" s="380"/>
      <c r="O103" s="380"/>
      <c r="P103" s="380"/>
      <c r="Q103" s="380"/>
      <c r="R103" s="380"/>
    </row>
    <row r="104" spans="1:18" s="381" customFormat="1" hidden="1" x14ac:dyDescent="0.25">
      <c r="A104" s="397" t="s">
        <v>513</v>
      </c>
      <c r="B104" s="398" t="e">
        <f>+#REF!/1000</f>
        <v>#REF!</v>
      </c>
      <c r="C104" s="398" t="e">
        <f>+#REF!/1000</f>
        <v>#REF!</v>
      </c>
      <c r="D104" s="398" t="e">
        <f>+#REF!/1000</f>
        <v>#REF!</v>
      </c>
      <c r="E104" s="392" t="e">
        <f t="shared" si="4"/>
        <v>#REF!</v>
      </c>
      <c r="F104" s="393" t="e">
        <f t="shared" si="5"/>
        <v>#REF!</v>
      </c>
      <c r="I104" s="382"/>
      <c r="J104" s="380"/>
      <c r="K104" s="380"/>
      <c r="L104" s="380"/>
      <c r="M104" s="380"/>
      <c r="N104" s="380"/>
      <c r="O104" s="380"/>
      <c r="P104" s="380"/>
      <c r="Q104" s="380"/>
      <c r="R104" s="380"/>
    </row>
    <row r="105" spans="1:18" s="381" customFormat="1" hidden="1" x14ac:dyDescent="0.25">
      <c r="A105" s="397" t="s">
        <v>515</v>
      </c>
      <c r="B105" s="398" t="e">
        <f>+#REF!/1000</f>
        <v>#REF!</v>
      </c>
      <c r="C105" s="398" t="e">
        <f>+#REF!/1000</f>
        <v>#REF!</v>
      </c>
      <c r="D105" s="398" t="e">
        <f>+#REF!/1000</f>
        <v>#REF!</v>
      </c>
      <c r="E105" s="392" t="e">
        <f t="shared" si="4"/>
        <v>#REF!</v>
      </c>
      <c r="F105" s="393" t="e">
        <f t="shared" si="5"/>
        <v>#REF!</v>
      </c>
      <c r="I105" s="382"/>
      <c r="J105" s="380"/>
      <c r="K105" s="380"/>
      <c r="L105" s="380"/>
      <c r="M105" s="380"/>
      <c r="N105" s="380"/>
      <c r="O105" s="380"/>
      <c r="P105" s="380"/>
      <c r="Q105" s="380"/>
      <c r="R105" s="380"/>
    </row>
    <row r="106" spans="1:18" s="381" customFormat="1" hidden="1" x14ac:dyDescent="0.25">
      <c r="A106" s="396" t="s">
        <v>30</v>
      </c>
      <c r="B106" s="389" t="e">
        <f>+#REF!/1000</f>
        <v>#REF!</v>
      </c>
      <c r="C106" s="389" t="e">
        <f>+#REF!/1000</f>
        <v>#REF!</v>
      </c>
      <c r="D106" s="389" t="e">
        <f>+#REF!/1000</f>
        <v>#REF!</v>
      </c>
      <c r="E106" s="392" t="e">
        <f t="shared" si="4"/>
        <v>#REF!</v>
      </c>
      <c r="F106" s="393" t="e">
        <f t="shared" si="5"/>
        <v>#REF!</v>
      </c>
      <c r="I106" s="382"/>
      <c r="J106" s="380"/>
      <c r="K106" s="380"/>
      <c r="L106" s="380"/>
      <c r="M106" s="380"/>
      <c r="N106" s="380"/>
      <c r="O106" s="380"/>
      <c r="P106" s="380"/>
      <c r="Q106" s="380"/>
      <c r="R106" s="380"/>
    </row>
    <row r="107" spans="1:18" s="381" customFormat="1" ht="26.4" hidden="1" x14ac:dyDescent="0.25">
      <c r="A107" s="388" t="s">
        <v>478</v>
      </c>
      <c r="B107" s="389" t="e">
        <f>+#REF!/1000</f>
        <v>#REF!</v>
      </c>
      <c r="C107" s="389" t="e">
        <f>+#REF!/1000</f>
        <v>#REF!</v>
      </c>
      <c r="D107" s="389" t="e">
        <f>+#REF!/1000</f>
        <v>#REF!</v>
      </c>
      <c r="E107" s="392" t="e">
        <f t="shared" si="4"/>
        <v>#REF!</v>
      </c>
      <c r="F107" s="393" t="e">
        <f t="shared" si="5"/>
        <v>#REF!</v>
      </c>
      <c r="I107" s="382"/>
      <c r="J107" s="380"/>
      <c r="K107" s="380"/>
      <c r="L107" s="380"/>
      <c r="M107" s="380"/>
      <c r="N107" s="380"/>
      <c r="O107" s="380"/>
      <c r="P107" s="380"/>
      <c r="Q107" s="380"/>
      <c r="R107" s="380"/>
    </row>
    <row r="108" spans="1:18" s="381" customFormat="1" ht="26.4" hidden="1" x14ac:dyDescent="0.25">
      <c r="A108" s="397" t="s">
        <v>504</v>
      </c>
      <c r="B108" s="398" t="e">
        <f>+#REF!/1000</f>
        <v>#REF!</v>
      </c>
      <c r="C108" s="398" t="e">
        <f>+#REF!/1000</f>
        <v>#REF!</v>
      </c>
      <c r="D108" s="398" t="e">
        <f>+#REF!/1000</f>
        <v>#REF!</v>
      </c>
      <c r="E108" s="392" t="e">
        <f t="shared" si="4"/>
        <v>#REF!</v>
      </c>
      <c r="F108" s="393" t="e">
        <f t="shared" si="5"/>
        <v>#REF!</v>
      </c>
      <c r="I108" s="382"/>
      <c r="J108" s="380"/>
      <c r="K108" s="380"/>
      <c r="L108" s="380"/>
      <c r="M108" s="380"/>
      <c r="N108" s="380"/>
      <c r="O108" s="380"/>
      <c r="P108" s="380"/>
      <c r="Q108" s="380"/>
      <c r="R108" s="380"/>
    </row>
    <row r="109" spans="1:18" s="381" customFormat="1" ht="52.8" hidden="1" x14ac:dyDescent="0.25">
      <c r="A109" s="397" t="s">
        <v>505</v>
      </c>
      <c r="B109" s="398" t="e">
        <f>+#REF!/1000</f>
        <v>#REF!</v>
      </c>
      <c r="C109" s="398" t="e">
        <f>+#REF!/1000</f>
        <v>#REF!</v>
      </c>
      <c r="D109" s="398" t="e">
        <f>+#REF!/1000</f>
        <v>#REF!</v>
      </c>
      <c r="E109" s="392" t="e">
        <f t="shared" si="4"/>
        <v>#REF!</v>
      </c>
      <c r="F109" s="393" t="e">
        <f t="shared" si="5"/>
        <v>#REF!</v>
      </c>
      <c r="I109" s="382"/>
      <c r="J109" s="380"/>
      <c r="K109" s="380"/>
      <c r="L109" s="380"/>
      <c r="M109" s="380"/>
      <c r="N109" s="380"/>
      <c r="O109" s="380"/>
      <c r="P109" s="380"/>
      <c r="Q109" s="380"/>
      <c r="R109" s="380"/>
    </row>
    <row r="110" spans="1:18" s="381" customFormat="1" ht="26.4" hidden="1" x14ac:dyDescent="0.25">
      <c r="A110" s="397" t="s">
        <v>506</v>
      </c>
      <c r="B110" s="398" t="e">
        <f>+#REF!/1000</f>
        <v>#REF!</v>
      </c>
      <c r="C110" s="398" t="e">
        <f>+#REF!/1000</f>
        <v>#REF!</v>
      </c>
      <c r="D110" s="398" t="e">
        <f>+#REF!/1000</f>
        <v>#REF!</v>
      </c>
      <c r="E110" s="392" t="e">
        <f t="shared" si="4"/>
        <v>#REF!</v>
      </c>
      <c r="F110" s="393" t="e">
        <f t="shared" si="5"/>
        <v>#REF!</v>
      </c>
      <c r="I110" s="382"/>
      <c r="J110" s="380"/>
      <c r="K110" s="380"/>
      <c r="L110" s="380"/>
      <c r="M110" s="380"/>
      <c r="N110" s="380"/>
      <c r="O110" s="380"/>
      <c r="P110" s="380"/>
      <c r="Q110" s="380"/>
      <c r="R110" s="380"/>
    </row>
    <row r="111" spans="1:18" s="381" customFormat="1" ht="26.4" hidden="1" x14ac:dyDescent="0.25">
      <c r="A111" s="397" t="s">
        <v>511</v>
      </c>
      <c r="B111" s="398" t="e">
        <f>+#REF!/1000</f>
        <v>#REF!</v>
      </c>
      <c r="C111" s="398" t="e">
        <f>+#REF!/1000</f>
        <v>#REF!</v>
      </c>
      <c r="D111" s="398" t="e">
        <f>+#REF!/1000</f>
        <v>#REF!</v>
      </c>
      <c r="E111" s="392" t="e">
        <f t="shared" si="4"/>
        <v>#REF!</v>
      </c>
      <c r="F111" s="393" t="e">
        <f t="shared" si="5"/>
        <v>#REF!</v>
      </c>
      <c r="I111" s="382"/>
      <c r="J111" s="380"/>
      <c r="K111" s="380"/>
      <c r="L111" s="380"/>
      <c r="M111" s="380"/>
      <c r="N111" s="380"/>
      <c r="O111" s="380"/>
      <c r="P111" s="380"/>
      <c r="Q111" s="380"/>
      <c r="R111" s="380"/>
    </row>
    <row r="112" spans="1:18" s="381" customFormat="1" ht="26.4" hidden="1" x14ac:dyDescent="0.25">
      <c r="A112" s="397" t="s">
        <v>512</v>
      </c>
      <c r="B112" s="398" t="e">
        <f>+#REF!/1000</f>
        <v>#REF!</v>
      </c>
      <c r="C112" s="398" t="e">
        <f>+#REF!/1000</f>
        <v>#REF!</v>
      </c>
      <c r="D112" s="398" t="e">
        <f>+#REF!/1000</f>
        <v>#REF!</v>
      </c>
      <c r="E112" s="392" t="e">
        <f t="shared" si="4"/>
        <v>#REF!</v>
      </c>
      <c r="F112" s="393" t="e">
        <f t="shared" si="5"/>
        <v>#REF!</v>
      </c>
      <c r="I112" s="382"/>
      <c r="J112" s="380"/>
      <c r="K112" s="380"/>
      <c r="L112" s="380"/>
      <c r="M112" s="380"/>
      <c r="N112" s="380"/>
      <c r="O112" s="380"/>
      <c r="P112" s="380"/>
      <c r="Q112" s="380"/>
      <c r="R112" s="380"/>
    </row>
    <row r="113" spans="1:18" s="381" customFormat="1" hidden="1" x14ac:dyDescent="0.25">
      <c r="A113" s="397" t="s">
        <v>513</v>
      </c>
      <c r="B113" s="398" t="e">
        <f>+#REF!/1000</f>
        <v>#REF!</v>
      </c>
      <c r="C113" s="398" t="e">
        <f>+#REF!/1000</f>
        <v>#REF!</v>
      </c>
      <c r="D113" s="398" t="e">
        <f>+#REF!/1000</f>
        <v>#REF!</v>
      </c>
      <c r="E113" s="392" t="e">
        <f t="shared" si="4"/>
        <v>#REF!</v>
      </c>
      <c r="F113" s="393" t="e">
        <f t="shared" si="5"/>
        <v>#REF!</v>
      </c>
      <c r="I113" s="382"/>
      <c r="J113" s="380"/>
      <c r="K113" s="380"/>
      <c r="L113" s="380"/>
      <c r="M113" s="380"/>
      <c r="N113" s="380"/>
      <c r="O113" s="380"/>
      <c r="P113" s="380"/>
      <c r="Q113" s="380"/>
      <c r="R113" s="380"/>
    </row>
    <row r="114" spans="1:18" s="381" customFormat="1" hidden="1" x14ac:dyDescent="0.25">
      <c r="A114" s="397" t="s">
        <v>514</v>
      </c>
      <c r="B114" s="398" t="e">
        <f>+#REF!/1000</f>
        <v>#REF!</v>
      </c>
      <c r="C114" s="398" t="e">
        <f>+#REF!/1000</f>
        <v>#REF!</v>
      </c>
      <c r="D114" s="398" t="e">
        <f>+#REF!/1000</f>
        <v>#REF!</v>
      </c>
      <c r="E114" s="392" t="e">
        <f t="shared" si="4"/>
        <v>#REF!</v>
      </c>
      <c r="F114" s="393" t="e">
        <f t="shared" si="5"/>
        <v>#REF!</v>
      </c>
      <c r="I114" s="382"/>
      <c r="J114" s="380"/>
      <c r="K114" s="380"/>
      <c r="L114" s="380"/>
      <c r="M114" s="380"/>
      <c r="N114" s="380"/>
      <c r="O114" s="380"/>
      <c r="P114" s="380"/>
      <c r="Q114" s="380"/>
      <c r="R114" s="380"/>
    </row>
    <row r="115" spans="1:18" s="381" customFormat="1" hidden="1" x14ac:dyDescent="0.25">
      <c r="A115" s="397" t="s">
        <v>515</v>
      </c>
      <c r="B115" s="398" t="e">
        <f>+#REF!/1000</f>
        <v>#REF!</v>
      </c>
      <c r="C115" s="398" t="e">
        <f>+#REF!/1000</f>
        <v>#REF!</v>
      </c>
      <c r="D115" s="398" t="e">
        <f>+#REF!/1000</f>
        <v>#REF!</v>
      </c>
      <c r="E115" s="392" t="e">
        <f t="shared" si="4"/>
        <v>#REF!</v>
      </c>
      <c r="F115" s="393" t="e">
        <f t="shared" si="5"/>
        <v>#REF!</v>
      </c>
      <c r="I115" s="382"/>
      <c r="J115" s="380"/>
      <c r="K115" s="380"/>
      <c r="L115" s="380"/>
      <c r="M115" s="380"/>
      <c r="N115" s="380"/>
      <c r="O115" s="380"/>
      <c r="P115" s="380"/>
      <c r="Q115" s="380"/>
      <c r="R115" s="380"/>
    </row>
    <row r="116" spans="1:18" s="381" customFormat="1" hidden="1" x14ac:dyDescent="0.25">
      <c r="A116" s="396" t="s">
        <v>30</v>
      </c>
      <c r="B116" s="389" t="e">
        <f>+#REF!/1000</f>
        <v>#REF!</v>
      </c>
      <c r="C116" s="389" t="e">
        <f>+#REF!/1000</f>
        <v>#REF!</v>
      </c>
      <c r="D116" s="389" t="e">
        <f>+#REF!/1000</f>
        <v>#REF!</v>
      </c>
      <c r="E116" s="392" t="e">
        <f t="shared" si="4"/>
        <v>#REF!</v>
      </c>
      <c r="F116" s="393" t="e">
        <f t="shared" si="5"/>
        <v>#REF!</v>
      </c>
      <c r="I116" s="382"/>
      <c r="J116" s="380"/>
      <c r="K116" s="380"/>
      <c r="L116" s="380"/>
      <c r="M116" s="380"/>
      <c r="N116" s="380"/>
      <c r="O116" s="380"/>
      <c r="P116" s="380"/>
      <c r="Q116" s="380"/>
      <c r="R116" s="380"/>
    </row>
    <row r="117" spans="1:18" s="381" customFormat="1" ht="26.4" hidden="1" x14ac:dyDescent="0.25">
      <c r="A117" s="388" t="s">
        <v>479</v>
      </c>
      <c r="B117" s="389" t="e">
        <f>+#REF!/1000</f>
        <v>#REF!</v>
      </c>
      <c r="C117" s="389" t="e">
        <f>+#REF!/1000</f>
        <v>#REF!</v>
      </c>
      <c r="D117" s="389" t="e">
        <f>+#REF!/1000</f>
        <v>#REF!</v>
      </c>
      <c r="E117" s="392" t="e">
        <f t="shared" si="4"/>
        <v>#REF!</v>
      </c>
      <c r="F117" s="393" t="e">
        <f t="shared" si="5"/>
        <v>#REF!</v>
      </c>
      <c r="I117" s="382"/>
      <c r="J117" s="380"/>
      <c r="K117" s="380"/>
      <c r="L117" s="380"/>
      <c r="M117" s="380"/>
      <c r="N117" s="380"/>
      <c r="O117" s="380"/>
      <c r="P117" s="380"/>
      <c r="Q117" s="380"/>
      <c r="R117" s="380"/>
    </row>
    <row r="118" spans="1:18" s="381" customFormat="1" ht="26.4" hidden="1" x14ac:dyDescent="0.25">
      <c r="A118" s="397" t="s">
        <v>504</v>
      </c>
      <c r="B118" s="398" t="e">
        <f>+#REF!/1000</f>
        <v>#REF!</v>
      </c>
      <c r="C118" s="398" t="e">
        <f>+#REF!/1000</f>
        <v>#REF!</v>
      </c>
      <c r="D118" s="398" t="e">
        <f>+#REF!/1000</f>
        <v>#REF!</v>
      </c>
      <c r="E118" s="392" t="e">
        <f t="shared" si="4"/>
        <v>#REF!</v>
      </c>
      <c r="F118" s="393" t="e">
        <f t="shared" si="5"/>
        <v>#REF!</v>
      </c>
      <c r="I118" s="382"/>
      <c r="J118" s="380"/>
      <c r="K118" s="380"/>
      <c r="L118" s="380"/>
      <c r="M118" s="380"/>
      <c r="N118" s="380"/>
      <c r="O118" s="380"/>
      <c r="P118" s="380"/>
      <c r="Q118" s="380"/>
      <c r="R118" s="380"/>
    </row>
    <row r="119" spans="1:18" s="381" customFormat="1" ht="52.8" hidden="1" x14ac:dyDescent="0.25">
      <c r="A119" s="397" t="s">
        <v>505</v>
      </c>
      <c r="B119" s="398" t="e">
        <f>+#REF!/1000</f>
        <v>#REF!</v>
      </c>
      <c r="C119" s="398" t="e">
        <f>+#REF!/1000</f>
        <v>#REF!</v>
      </c>
      <c r="D119" s="398" t="e">
        <f>+#REF!/1000</f>
        <v>#REF!</v>
      </c>
      <c r="E119" s="392" t="e">
        <f t="shared" si="4"/>
        <v>#REF!</v>
      </c>
      <c r="F119" s="393" t="e">
        <f t="shared" si="5"/>
        <v>#REF!</v>
      </c>
      <c r="I119" s="382"/>
      <c r="J119" s="380"/>
      <c r="K119" s="380"/>
      <c r="L119" s="380"/>
      <c r="M119" s="380"/>
      <c r="N119" s="380"/>
      <c r="O119" s="380"/>
      <c r="P119" s="380"/>
      <c r="Q119" s="380"/>
      <c r="R119" s="380"/>
    </row>
    <row r="120" spans="1:18" s="381" customFormat="1" ht="26.4" hidden="1" x14ac:dyDescent="0.25">
      <c r="A120" s="397" t="s">
        <v>506</v>
      </c>
      <c r="B120" s="398" t="e">
        <f>+#REF!/1000</f>
        <v>#REF!</v>
      </c>
      <c r="C120" s="398" t="e">
        <f>+#REF!/1000</f>
        <v>#REF!</v>
      </c>
      <c r="D120" s="398" t="e">
        <f>+#REF!/1000</f>
        <v>#REF!</v>
      </c>
      <c r="E120" s="392" t="e">
        <f t="shared" si="4"/>
        <v>#REF!</v>
      </c>
      <c r="F120" s="393" t="e">
        <f t="shared" si="5"/>
        <v>#REF!</v>
      </c>
      <c r="I120" s="382"/>
      <c r="J120" s="380"/>
      <c r="K120" s="380"/>
      <c r="L120" s="380"/>
      <c r="M120" s="380"/>
      <c r="N120" s="380"/>
      <c r="O120" s="380"/>
      <c r="P120" s="380"/>
      <c r="Q120" s="380"/>
      <c r="R120" s="380"/>
    </row>
    <row r="121" spans="1:18" s="381" customFormat="1" ht="26.4" hidden="1" x14ac:dyDescent="0.25">
      <c r="A121" s="397" t="s">
        <v>511</v>
      </c>
      <c r="B121" s="398" t="e">
        <f>+#REF!/1000</f>
        <v>#REF!</v>
      </c>
      <c r="C121" s="398" t="e">
        <f>+#REF!/1000</f>
        <v>#REF!</v>
      </c>
      <c r="D121" s="398" t="e">
        <f>+#REF!/1000</f>
        <v>#REF!</v>
      </c>
      <c r="E121" s="392" t="e">
        <f t="shared" si="4"/>
        <v>#REF!</v>
      </c>
      <c r="F121" s="393" t="e">
        <f t="shared" si="5"/>
        <v>#REF!</v>
      </c>
      <c r="I121" s="382"/>
      <c r="J121" s="380"/>
      <c r="K121" s="380"/>
      <c r="L121" s="380"/>
      <c r="M121" s="380"/>
      <c r="N121" s="380"/>
      <c r="O121" s="380"/>
      <c r="P121" s="380"/>
      <c r="Q121" s="380"/>
      <c r="R121" s="380"/>
    </row>
    <row r="122" spans="1:18" s="381" customFormat="1" ht="26.4" hidden="1" x14ac:dyDescent="0.25">
      <c r="A122" s="397" t="s">
        <v>512</v>
      </c>
      <c r="B122" s="398" t="e">
        <f>+#REF!/1000</f>
        <v>#REF!</v>
      </c>
      <c r="C122" s="398" t="e">
        <f>+#REF!/1000</f>
        <v>#REF!</v>
      </c>
      <c r="D122" s="398" t="e">
        <f>+#REF!/1000</f>
        <v>#REF!</v>
      </c>
      <c r="E122" s="392" t="e">
        <f t="shared" si="4"/>
        <v>#REF!</v>
      </c>
      <c r="F122" s="393" t="e">
        <f t="shared" si="5"/>
        <v>#REF!</v>
      </c>
      <c r="I122" s="382"/>
      <c r="J122" s="380"/>
      <c r="K122" s="380"/>
      <c r="L122" s="380"/>
      <c r="M122" s="380"/>
      <c r="N122" s="380"/>
      <c r="O122" s="380"/>
      <c r="P122" s="380"/>
      <c r="Q122" s="380"/>
      <c r="R122" s="380"/>
    </row>
    <row r="123" spans="1:18" s="381" customFormat="1" hidden="1" x14ac:dyDescent="0.25">
      <c r="A123" s="397" t="s">
        <v>513</v>
      </c>
      <c r="B123" s="398" t="e">
        <f>+#REF!/1000</f>
        <v>#REF!</v>
      </c>
      <c r="C123" s="398" t="e">
        <f>+#REF!/1000</f>
        <v>#REF!</v>
      </c>
      <c r="D123" s="398" t="e">
        <f>+#REF!/1000</f>
        <v>#REF!</v>
      </c>
      <c r="E123" s="392" t="e">
        <f t="shared" si="4"/>
        <v>#REF!</v>
      </c>
      <c r="F123" s="393" t="e">
        <f t="shared" si="5"/>
        <v>#REF!</v>
      </c>
      <c r="I123" s="382"/>
      <c r="J123" s="380"/>
      <c r="K123" s="380"/>
      <c r="L123" s="380"/>
      <c r="M123" s="380"/>
      <c r="N123" s="380"/>
      <c r="O123" s="380"/>
      <c r="P123" s="380"/>
      <c r="Q123" s="380"/>
      <c r="R123" s="380"/>
    </row>
    <row r="124" spans="1:18" s="381" customFormat="1" hidden="1" x14ac:dyDescent="0.25">
      <c r="A124" s="397" t="s">
        <v>515</v>
      </c>
      <c r="B124" s="398" t="e">
        <f>+#REF!/1000</f>
        <v>#REF!</v>
      </c>
      <c r="C124" s="398" t="e">
        <f>+#REF!/1000</f>
        <v>#REF!</v>
      </c>
      <c r="D124" s="398" t="e">
        <f>+#REF!/1000</f>
        <v>#REF!</v>
      </c>
      <c r="E124" s="392" t="e">
        <f t="shared" si="4"/>
        <v>#REF!</v>
      </c>
      <c r="F124" s="393" t="e">
        <f t="shared" si="5"/>
        <v>#REF!</v>
      </c>
      <c r="I124" s="382"/>
      <c r="J124" s="380"/>
      <c r="K124" s="380"/>
      <c r="L124" s="380"/>
      <c r="M124" s="380"/>
      <c r="N124" s="380"/>
      <c r="O124" s="380"/>
      <c r="P124" s="380"/>
      <c r="Q124" s="380"/>
      <c r="R124" s="380"/>
    </row>
    <row r="125" spans="1:18" s="381" customFormat="1" hidden="1" x14ac:dyDescent="0.25">
      <c r="A125" s="399" t="s">
        <v>30</v>
      </c>
      <c r="B125" s="398" t="e">
        <f>+#REF!/1000</f>
        <v>#REF!</v>
      </c>
      <c r="C125" s="398" t="e">
        <f>+#REF!/1000</f>
        <v>#REF!</v>
      </c>
      <c r="D125" s="398" t="e">
        <f>+#REF!/1000</f>
        <v>#REF!</v>
      </c>
      <c r="E125" s="392" t="e">
        <f t="shared" si="4"/>
        <v>#REF!</v>
      </c>
      <c r="F125" s="393" t="e">
        <f t="shared" si="5"/>
        <v>#REF!</v>
      </c>
      <c r="I125" s="382"/>
      <c r="J125" s="380"/>
      <c r="K125" s="380"/>
      <c r="L125" s="380"/>
      <c r="M125" s="380"/>
      <c r="N125" s="380"/>
      <c r="O125" s="380"/>
      <c r="P125" s="380"/>
      <c r="Q125" s="380"/>
      <c r="R125" s="380"/>
    </row>
    <row r="126" spans="1:18" s="381" customFormat="1" ht="39.6" hidden="1" x14ac:dyDescent="0.25">
      <c r="A126" s="388" t="s">
        <v>480</v>
      </c>
      <c r="B126" s="389" t="e">
        <f>+#REF!/1000</f>
        <v>#REF!</v>
      </c>
      <c r="C126" s="389" t="e">
        <f>+#REF!/1000</f>
        <v>#REF!</v>
      </c>
      <c r="D126" s="389" t="e">
        <f>+#REF!/1000</f>
        <v>#REF!</v>
      </c>
      <c r="E126" s="392" t="e">
        <f t="shared" si="4"/>
        <v>#REF!</v>
      </c>
      <c r="F126" s="393" t="e">
        <f t="shared" si="5"/>
        <v>#REF!</v>
      </c>
      <c r="I126" s="382"/>
      <c r="J126" s="380"/>
      <c r="K126" s="380"/>
      <c r="L126" s="380"/>
      <c r="M126" s="380"/>
      <c r="N126" s="380"/>
      <c r="O126" s="380"/>
      <c r="P126" s="380"/>
      <c r="Q126" s="380"/>
      <c r="R126" s="380"/>
    </row>
    <row r="127" spans="1:18" s="381" customFormat="1" hidden="1" x14ac:dyDescent="0.25">
      <c r="A127" s="397" t="s">
        <v>525</v>
      </c>
      <c r="B127" s="398" t="e">
        <f>+#REF!/1000</f>
        <v>#REF!</v>
      </c>
      <c r="C127" s="398" t="e">
        <f>+#REF!/1000</f>
        <v>#REF!</v>
      </c>
      <c r="D127" s="398" t="e">
        <f>+#REF!/1000</f>
        <v>#REF!</v>
      </c>
      <c r="E127" s="392" t="e">
        <f t="shared" si="4"/>
        <v>#REF!</v>
      </c>
      <c r="F127" s="393" t="e">
        <f t="shared" si="5"/>
        <v>#REF!</v>
      </c>
      <c r="I127" s="382"/>
      <c r="J127" s="380"/>
      <c r="K127" s="380"/>
      <c r="L127" s="380"/>
      <c r="M127" s="380"/>
      <c r="N127" s="380"/>
      <c r="O127" s="380"/>
      <c r="P127" s="380"/>
      <c r="Q127" s="380"/>
      <c r="R127" s="380"/>
    </row>
    <row r="128" spans="1:18" s="381" customFormat="1" ht="26.4" hidden="1" x14ac:dyDescent="0.25">
      <c r="A128" s="397" t="s">
        <v>526</v>
      </c>
      <c r="B128" s="398" t="e">
        <f>+#REF!/1000</f>
        <v>#REF!</v>
      </c>
      <c r="C128" s="398" t="e">
        <f>+#REF!/1000</f>
        <v>#REF!</v>
      </c>
      <c r="D128" s="398" t="e">
        <f>+#REF!/1000</f>
        <v>#REF!</v>
      </c>
      <c r="E128" s="392" t="e">
        <f t="shared" si="4"/>
        <v>#REF!</v>
      </c>
      <c r="F128" s="393" t="e">
        <f t="shared" si="5"/>
        <v>#REF!</v>
      </c>
      <c r="I128" s="382"/>
      <c r="J128" s="380"/>
      <c r="K128" s="380"/>
      <c r="L128" s="380"/>
      <c r="M128" s="380"/>
      <c r="N128" s="380"/>
      <c r="O128" s="380"/>
      <c r="P128" s="380"/>
      <c r="Q128" s="380"/>
      <c r="R128" s="380"/>
    </row>
    <row r="129" spans="1:18" s="381" customFormat="1" ht="52.8" hidden="1" x14ac:dyDescent="0.25">
      <c r="A129" s="397" t="s">
        <v>505</v>
      </c>
      <c r="B129" s="398" t="e">
        <f>+#REF!/1000</f>
        <v>#REF!</v>
      </c>
      <c r="C129" s="398" t="e">
        <f>+#REF!/1000</f>
        <v>#REF!</v>
      </c>
      <c r="D129" s="398" t="e">
        <f>+#REF!/1000</f>
        <v>#REF!</v>
      </c>
      <c r="E129" s="392" t="e">
        <f t="shared" si="4"/>
        <v>#REF!</v>
      </c>
      <c r="F129" s="393" t="e">
        <f t="shared" si="5"/>
        <v>#REF!</v>
      </c>
      <c r="I129" s="382"/>
      <c r="J129" s="380"/>
      <c r="K129" s="380"/>
      <c r="L129" s="380"/>
      <c r="M129" s="380"/>
      <c r="N129" s="380"/>
      <c r="O129" s="380"/>
      <c r="P129" s="380"/>
      <c r="Q129" s="380"/>
      <c r="R129" s="380"/>
    </row>
    <row r="130" spans="1:18" s="381" customFormat="1" ht="26.4" hidden="1" x14ac:dyDescent="0.25">
      <c r="A130" s="397" t="s">
        <v>506</v>
      </c>
      <c r="B130" s="398" t="e">
        <f>+#REF!/1000</f>
        <v>#REF!</v>
      </c>
      <c r="C130" s="398" t="e">
        <f>+#REF!/1000</f>
        <v>#REF!</v>
      </c>
      <c r="D130" s="398" t="e">
        <f>+#REF!/1000</f>
        <v>#REF!</v>
      </c>
      <c r="E130" s="392" t="e">
        <f t="shared" si="4"/>
        <v>#REF!</v>
      </c>
      <c r="F130" s="393" t="e">
        <f t="shared" si="5"/>
        <v>#REF!</v>
      </c>
      <c r="I130" s="382"/>
      <c r="J130" s="380"/>
      <c r="K130" s="380"/>
      <c r="L130" s="380"/>
      <c r="M130" s="380"/>
      <c r="N130" s="380"/>
      <c r="O130" s="380"/>
      <c r="P130" s="380"/>
      <c r="Q130" s="380"/>
      <c r="R130" s="380"/>
    </row>
    <row r="131" spans="1:18" s="381" customFormat="1" ht="26.4" hidden="1" x14ac:dyDescent="0.25">
      <c r="A131" s="397" t="s">
        <v>511</v>
      </c>
      <c r="B131" s="398" t="e">
        <f>+#REF!/1000</f>
        <v>#REF!</v>
      </c>
      <c r="C131" s="398" t="e">
        <f>+#REF!/1000</f>
        <v>#REF!</v>
      </c>
      <c r="D131" s="398" t="e">
        <f>+#REF!/1000</f>
        <v>#REF!</v>
      </c>
      <c r="E131" s="392" t="e">
        <f t="shared" si="4"/>
        <v>#REF!</v>
      </c>
      <c r="F131" s="393" t="e">
        <f t="shared" si="5"/>
        <v>#REF!</v>
      </c>
      <c r="I131" s="382"/>
      <c r="J131" s="380"/>
      <c r="K131" s="380"/>
      <c r="L131" s="380"/>
      <c r="M131" s="380"/>
      <c r="N131" s="380"/>
      <c r="O131" s="380"/>
      <c r="P131" s="380"/>
      <c r="Q131" s="380"/>
      <c r="R131" s="380"/>
    </row>
    <row r="132" spans="1:18" s="381" customFormat="1" ht="26.4" hidden="1" x14ac:dyDescent="0.25">
      <c r="A132" s="397" t="s">
        <v>512</v>
      </c>
      <c r="B132" s="398" t="e">
        <f>+#REF!/1000</f>
        <v>#REF!</v>
      </c>
      <c r="C132" s="398" t="e">
        <f>+#REF!/1000</f>
        <v>#REF!</v>
      </c>
      <c r="D132" s="398" t="e">
        <f>+#REF!/1000</f>
        <v>#REF!</v>
      </c>
      <c r="E132" s="392" t="e">
        <f t="shared" si="4"/>
        <v>#REF!</v>
      </c>
      <c r="F132" s="393" t="e">
        <f t="shared" si="5"/>
        <v>#REF!</v>
      </c>
      <c r="I132" s="382"/>
      <c r="J132" s="380"/>
      <c r="K132" s="380"/>
      <c r="L132" s="380"/>
      <c r="M132" s="380"/>
      <c r="N132" s="380"/>
      <c r="O132" s="380"/>
      <c r="P132" s="380"/>
      <c r="Q132" s="380"/>
      <c r="R132" s="380"/>
    </row>
    <row r="133" spans="1:18" s="381" customFormat="1" ht="26.4" hidden="1" x14ac:dyDescent="0.25">
      <c r="A133" s="397" t="s">
        <v>527</v>
      </c>
      <c r="B133" s="398" t="e">
        <f>+#REF!/1000</f>
        <v>#REF!</v>
      </c>
      <c r="C133" s="398" t="e">
        <f>+#REF!/1000</f>
        <v>#REF!</v>
      </c>
      <c r="D133" s="398" t="e">
        <f>+#REF!/1000</f>
        <v>#REF!</v>
      </c>
      <c r="E133" s="392" t="e">
        <f t="shared" si="4"/>
        <v>#REF!</v>
      </c>
      <c r="F133" s="393" t="e">
        <f t="shared" si="5"/>
        <v>#REF!</v>
      </c>
      <c r="I133" s="382"/>
      <c r="J133" s="380"/>
      <c r="K133" s="380"/>
      <c r="L133" s="380"/>
      <c r="M133" s="380"/>
      <c r="N133" s="380"/>
      <c r="O133" s="380"/>
      <c r="P133" s="380"/>
      <c r="Q133" s="380"/>
      <c r="R133" s="380"/>
    </row>
    <row r="134" spans="1:18" s="381" customFormat="1" ht="26.4" hidden="1" x14ac:dyDescent="0.25">
      <c r="A134" s="397" t="s">
        <v>528</v>
      </c>
      <c r="B134" s="398" t="e">
        <f>+#REF!/1000</f>
        <v>#REF!</v>
      </c>
      <c r="C134" s="398" t="e">
        <f>+#REF!/1000</f>
        <v>#REF!</v>
      </c>
      <c r="D134" s="398" t="e">
        <f>+#REF!/1000</f>
        <v>#REF!</v>
      </c>
      <c r="E134" s="392" t="e">
        <f t="shared" si="4"/>
        <v>#REF!</v>
      </c>
      <c r="F134" s="393" t="e">
        <f t="shared" si="5"/>
        <v>#REF!</v>
      </c>
      <c r="I134" s="382"/>
      <c r="J134" s="380"/>
      <c r="K134" s="380"/>
      <c r="L134" s="380"/>
      <c r="M134" s="380"/>
      <c r="N134" s="380"/>
      <c r="O134" s="380"/>
      <c r="P134" s="380"/>
      <c r="Q134" s="380"/>
      <c r="R134" s="380"/>
    </row>
    <row r="135" spans="1:18" s="381" customFormat="1" ht="52.8" hidden="1" x14ac:dyDescent="0.25">
      <c r="A135" s="397" t="s">
        <v>505</v>
      </c>
      <c r="B135" s="398" t="e">
        <f>+#REF!/1000</f>
        <v>#REF!</v>
      </c>
      <c r="C135" s="398" t="e">
        <f>+#REF!/1000</f>
        <v>#REF!</v>
      </c>
      <c r="D135" s="398" t="e">
        <f>+#REF!/1000</f>
        <v>#REF!</v>
      </c>
      <c r="E135" s="392" t="e">
        <f t="shared" si="4"/>
        <v>#REF!</v>
      </c>
      <c r="F135" s="393" t="e">
        <f t="shared" si="5"/>
        <v>#REF!</v>
      </c>
      <c r="I135" s="382"/>
      <c r="J135" s="380"/>
      <c r="K135" s="380"/>
      <c r="L135" s="380"/>
      <c r="M135" s="380"/>
      <c r="N135" s="380"/>
      <c r="O135" s="380"/>
      <c r="P135" s="380"/>
      <c r="Q135" s="380"/>
      <c r="R135" s="380"/>
    </row>
    <row r="136" spans="1:18" s="381" customFormat="1" ht="26.4" hidden="1" x14ac:dyDescent="0.25">
      <c r="A136" s="397" t="s">
        <v>506</v>
      </c>
      <c r="B136" s="398" t="e">
        <f>+#REF!/1000</f>
        <v>#REF!</v>
      </c>
      <c r="C136" s="398" t="e">
        <f>+#REF!/1000</f>
        <v>#REF!</v>
      </c>
      <c r="D136" s="398" t="e">
        <f>+#REF!/1000</f>
        <v>#REF!</v>
      </c>
      <c r="E136" s="392" t="e">
        <f t="shared" si="4"/>
        <v>#REF!</v>
      </c>
      <c r="F136" s="393" t="e">
        <f t="shared" si="5"/>
        <v>#REF!</v>
      </c>
      <c r="I136" s="382"/>
      <c r="J136" s="380"/>
      <c r="K136" s="380"/>
      <c r="L136" s="380"/>
      <c r="M136" s="380"/>
      <c r="N136" s="380"/>
      <c r="O136" s="380"/>
      <c r="P136" s="380"/>
      <c r="Q136" s="380"/>
      <c r="R136" s="380"/>
    </row>
    <row r="137" spans="1:18" s="381" customFormat="1" ht="26.4" hidden="1" x14ac:dyDescent="0.25">
      <c r="A137" s="397" t="s">
        <v>511</v>
      </c>
      <c r="B137" s="398" t="e">
        <f>+#REF!/1000</f>
        <v>#REF!</v>
      </c>
      <c r="C137" s="398" t="e">
        <f>+#REF!/1000</f>
        <v>#REF!</v>
      </c>
      <c r="D137" s="398" t="e">
        <f>+#REF!/1000</f>
        <v>#REF!</v>
      </c>
      <c r="E137" s="392" t="e">
        <f t="shared" si="4"/>
        <v>#REF!</v>
      </c>
      <c r="F137" s="393" t="e">
        <f t="shared" si="5"/>
        <v>#REF!</v>
      </c>
      <c r="I137" s="382"/>
      <c r="J137" s="380"/>
      <c r="K137" s="380"/>
      <c r="L137" s="380"/>
      <c r="M137" s="380"/>
      <c r="N137" s="380"/>
      <c r="O137" s="380"/>
      <c r="P137" s="380"/>
      <c r="Q137" s="380"/>
      <c r="R137" s="380"/>
    </row>
    <row r="138" spans="1:18" s="381" customFormat="1" ht="26.4" hidden="1" x14ac:dyDescent="0.25">
      <c r="A138" s="397" t="s">
        <v>512</v>
      </c>
      <c r="B138" s="398" t="e">
        <f>+#REF!/1000</f>
        <v>#REF!</v>
      </c>
      <c r="C138" s="398" t="e">
        <f>+#REF!/1000</f>
        <v>#REF!</v>
      </c>
      <c r="D138" s="398" t="e">
        <f>+#REF!/1000</f>
        <v>#REF!</v>
      </c>
      <c r="E138" s="392" t="e">
        <f t="shared" si="4"/>
        <v>#REF!</v>
      </c>
      <c r="F138" s="393" t="e">
        <f t="shared" si="5"/>
        <v>#REF!</v>
      </c>
      <c r="I138" s="382"/>
      <c r="J138" s="380"/>
      <c r="K138" s="380"/>
      <c r="L138" s="380"/>
      <c r="M138" s="380"/>
      <c r="N138" s="380"/>
      <c r="O138" s="380"/>
      <c r="P138" s="380"/>
      <c r="Q138" s="380"/>
      <c r="R138" s="380"/>
    </row>
    <row r="139" spans="1:18" s="381" customFormat="1" hidden="1" x14ac:dyDescent="0.25">
      <c r="A139" s="399" t="s">
        <v>30</v>
      </c>
      <c r="B139" s="398" t="e">
        <f>+#REF!/1000</f>
        <v>#REF!</v>
      </c>
      <c r="C139" s="398" t="e">
        <f>+#REF!/1000</f>
        <v>#REF!</v>
      </c>
      <c r="D139" s="398" t="e">
        <f>+#REF!/1000</f>
        <v>#REF!</v>
      </c>
      <c r="E139" s="392" t="e">
        <f t="shared" si="4"/>
        <v>#REF!</v>
      </c>
      <c r="F139" s="393" t="e">
        <f t="shared" si="5"/>
        <v>#REF!</v>
      </c>
      <c r="I139" s="382"/>
      <c r="J139" s="380"/>
      <c r="K139" s="380"/>
      <c r="L139" s="380"/>
      <c r="M139" s="380"/>
      <c r="N139" s="380"/>
      <c r="O139" s="380"/>
      <c r="P139" s="380"/>
      <c r="Q139" s="380"/>
      <c r="R139" s="380"/>
    </row>
    <row r="140" spans="1:18" s="381" customFormat="1" hidden="1" x14ac:dyDescent="0.25">
      <c r="A140" s="388" t="s">
        <v>481</v>
      </c>
      <c r="B140" s="389" t="e">
        <f>+#REF!/1000</f>
        <v>#REF!</v>
      </c>
      <c r="C140" s="389" t="e">
        <f>+#REF!/1000</f>
        <v>#REF!</v>
      </c>
      <c r="D140" s="389" t="e">
        <f>+#REF!/1000</f>
        <v>#REF!</v>
      </c>
      <c r="E140" s="392" t="e">
        <f t="shared" ref="E140:E186" si="6">D140/B140*100</f>
        <v>#REF!</v>
      </c>
      <c r="F140" s="393" t="e">
        <f t="shared" si="5"/>
        <v>#REF!</v>
      </c>
      <c r="I140" s="382"/>
      <c r="J140" s="380"/>
      <c r="K140" s="380"/>
      <c r="L140" s="380"/>
      <c r="M140" s="380"/>
      <c r="N140" s="380"/>
      <c r="O140" s="380"/>
      <c r="P140" s="380"/>
      <c r="Q140" s="380"/>
      <c r="R140" s="380"/>
    </row>
    <row r="141" spans="1:18" s="381" customFormat="1" hidden="1" x14ac:dyDescent="0.25">
      <c r="A141" s="397" t="s">
        <v>481</v>
      </c>
      <c r="B141" s="398" t="e">
        <f>+#REF!/1000</f>
        <v>#REF!</v>
      </c>
      <c r="C141" s="398" t="e">
        <f>+#REF!/1000</f>
        <v>#REF!</v>
      </c>
      <c r="D141" s="398" t="e">
        <f>+#REF!/1000</f>
        <v>#REF!</v>
      </c>
      <c r="E141" s="392" t="e">
        <f t="shared" si="6"/>
        <v>#REF!</v>
      </c>
      <c r="F141" s="393" t="e">
        <f t="shared" ref="F141:F185" si="7">D141/C141*100</f>
        <v>#REF!</v>
      </c>
      <c r="I141" s="382"/>
      <c r="J141" s="380"/>
      <c r="K141" s="380"/>
      <c r="L141" s="380"/>
      <c r="M141" s="380"/>
      <c r="N141" s="380"/>
      <c r="O141" s="380"/>
      <c r="P141" s="380"/>
      <c r="Q141" s="380"/>
      <c r="R141" s="380"/>
    </row>
    <row r="142" spans="1:18" s="381" customFormat="1" ht="52.8" hidden="1" x14ac:dyDescent="0.25">
      <c r="A142" s="397" t="s">
        <v>505</v>
      </c>
      <c r="B142" s="398" t="e">
        <f>+#REF!/1000</f>
        <v>#REF!</v>
      </c>
      <c r="C142" s="398" t="e">
        <f>+#REF!/1000</f>
        <v>#REF!</v>
      </c>
      <c r="D142" s="398" t="e">
        <f>+#REF!/1000</f>
        <v>#REF!</v>
      </c>
      <c r="E142" s="392" t="e">
        <f t="shared" si="6"/>
        <v>#REF!</v>
      </c>
      <c r="F142" s="393" t="e">
        <f t="shared" si="7"/>
        <v>#REF!</v>
      </c>
      <c r="I142" s="382"/>
      <c r="J142" s="380"/>
      <c r="K142" s="380"/>
      <c r="L142" s="380"/>
      <c r="M142" s="380"/>
      <c r="N142" s="380"/>
      <c r="O142" s="380"/>
      <c r="P142" s="380"/>
      <c r="Q142" s="380"/>
      <c r="R142" s="380"/>
    </row>
    <row r="143" spans="1:18" s="381" customFormat="1" hidden="1" x14ac:dyDescent="0.25">
      <c r="A143" s="397" t="s">
        <v>529</v>
      </c>
      <c r="B143" s="398" t="e">
        <f>+#REF!/1000</f>
        <v>#REF!</v>
      </c>
      <c r="C143" s="398" t="e">
        <f>+#REF!/1000</f>
        <v>#REF!</v>
      </c>
      <c r="D143" s="398" t="e">
        <f>+#REF!/1000</f>
        <v>#REF!</v>
      </c>
      <c r="E143" s="392" t="e">
        <f t="shared" si="6"/>
        <v>#REF!</v>
      </c>
      <c r="F143" s="393" t="e">
        <f t="shared" si="7"/>
        <v>#REF!</v>
      </c>
      <c r="I143" s="382"/>
      <c r="J143" s="380"/>
      <c r="K143" s="380"/>
      <c r="L143" s="380"/>
      <c r="M143" s="380"/>
      <c r="N143" s="380"/>
      <c r="O143" s="380"/>
      <c r="P143" s="380"/>
      <c r="Q143" s="380"/>
      <c r="R143" s="380"/>
    </row>
    <row r="144" spans="1:18" s="381" customFormat="1" ht="26.4" hidden="1" x14ac:dyDescent="0.25">
      <c r="A144" s="397" t="s">
        <v>506</v>
      </c>
      <c r="B144" s="398" t="e">
        <f>+#REF!/1000</f>
        <v>#REF!</v>
      </c>
      <c r="C144" s="398" t="e">
        <f>+#REF!/1000</f>
        <v>#REF!</v>
      </c>
      <c r="D144" s="398" t="e">
        <f>+#REF!/1000</f>
        <v>#REF!</v>
      </c>
      <c r="E144" s="392" t="e">
        <f t="shared" si="6"/>
        <v>#REF!</v>
      </c>
      <c r="F144" s="393" t="e">
        <f t="shared" si="7"/>
        <v>#REF!</v>
      </c>
      <c r="I144" s="382"/>
      <c r="J144" s="380"/>
      <c r="K144" s="380"/>
      <c r="L144" s="380"/>
      <c r="M144" s="380"/>
      <c r="N144" s="380"/>
      <c r="O144" s="380"/>
      <c r="P144" s="380"/>
      <c r="Q144" s="380"/>
      <c r="R144" s="380"/>
    </row>
    <row r="145" spans="1:18" s="381" customFormat="1" ht="26.4" hidden="1" x14ac:dyDescent="0.25">
      <c r="A145" s="397" t="s">
        <v>511</v>
      </c>
      <c r="B145" s="398" t="e">
        <f>+#REF!/1000</f>
        <v>#REF!</v>
      </c>
      <c r="C145" s="398" t="e">
        <f>+#REF!/1000</f>
        <v>#REF!</v>
      </c>
      <c r="D145" s="398" t="e">
        <f>+#REF!/1000</f>
        <v>#REF!</v>
      </c>
      <c r="E145" s="392" t="e">
        <f t="shared" si="6"/>
        <v>#REF!</v>
      </c>
      <c r="F145" s="393" t="e">
        <f t="shared" si="7"/>
        <v>#REF!</v>
      </c>
      <c r="I145" s="382"/>
      <c r="J145" s="380"/>
      <c r="K145" s="380"/>
      <c r="L145" s="380"/>
      <c r="M145" s="380"/>
      <c r="N145" s="380"/>
      <c r="O145" s="380"/>
      <c r="P145" s="380"/>
      <c r="Q145" s="380"/>
      <c r="R145" s="380"/>
    </row>
    <row r="146" spans="1:18" s="381" customFormat="1" ht="26.4" hidden="1" x14ac:dyDescent="0.25">
      <c r="A146" s="397" t="s">
        <v>512</v>
      </c>
      <c r="B146" s="398" t="e">
        <f>+#REF!/1000</f>
        <v>#REF!</v>
      </c>
      <c r="C146" s="398" t="e">
        <f>+#REF!/1000</f>
        <v>#REF!</v>
      </c>
      <c r="D146" s="398" t="e">
        <f>+#REF!/1000</f>
        <v>#REF!</v>
      </c>
      <c r="E146" s="392" t="e">
        <f t="shared" si="6"/>
        <v>#REF!</v>
      </c>
      <c r="F146" s="393" t="e">
        <f t="shared" si="7"/>
        <v>#REF!</v>
      </c>
      <c r="I146" s="382"/>
      <c r="J146" s="380"/>
      <c r="K146" s="380"/>
      <c r="L146" s="380"/>
      <c r="M146" s="380"/>
      <c r="N146" s="380"/>
      <c r="O146" s="380"/>
      <c r="P146" s="380"/>
      <c r="Q146" s="380"/>
      <c r="R146" s="380"/>
    </row>
    <row r="147" spans="1:18" s="381" customFormat="1" hidden="1" x14ac:dyDescent="0.25">
      <c r="A147" s="397" t="s">
        <v>530</v>
      </c>
      <c r="B147" s="398" t="e">
        <f>+#REF!/1000</f>
        <v>#REF!</v>
      </c>
      <c r="C147" s="398" t="e">
        <f>+#REF!/1000</f>
        <v>#REF!</v>
      </c>
      <c r="D147" s="398" t="e">
        <f>+#REF!/1000</f>
        <v>#REF!</v>
      </c>
      <c r="E147" s="392" t="e">
        <f t="shared" si="6"/>
        <v>#REF!</v>
      </c>
      <c r="F147" s="393" t="e">
        <f t="shared" si="7"/>
        <v>#REF!</v>
      </c>
      <c r="I147" s="382"/>
      <c r="J147" s="380"/>
      <c r="K147" s="380"/>
      <c r="L147" s="380"/>
      <c r="M147" s="380"/>
      <c r="N147" s="380"/>
      <c r="O147" s="380"/>
      <c r="P147" s="380"/>
      <c r="Q147" s="380"/>
      <c r="R147" s="380"/>
    </row>
    <row r="148" spans="1:18" s="381" customFormat="1" ht="26.4" hidden="1" x14ac:dyDescent="0.25">
      <c r="A148" s="397" t="s">
        <v>531</v>
      </c>
      <c r="B148" s="398" t="e">
        <f>+#REF!/1000</f>
        <v>#REF!</v>
      </c>
      <c r="C148" s="398" t="e">
        <f>+#REF!/1000</f>
        <v>#REF!</v>
      </c>
      <c r="D148" s="398" t="e">
        <f>+#REF!/1000</f>
        <v>#REF!</v>
      </c>
      <c r="E148" s="392" t="e">
        <f t="shared" si="6"/>
        <v>#REF!</v>
      </c>
      <c r="F148" s="393" t="e">
        <f t="shared" si="7"/>
        <v>#REF!</v>
      </c>
      <c r="I148" s="382"/>
      <c r="J148" s="380"/>
      <c r="K148" s="380"/>
      <c r="L148" s="380"/>
      <c r="M148" s="380"/>
      <c r="N148" s="380"/>
      <c r="O148" s="380"/>
      <c r="P148" s="380"/>
      <c r="Q148" s="380"/>
      <c r="R148" s="380"/>
    </row>
    <row r="149" spans="1:18" s="381" customFormat="1" hidden="1" x14ac:dyDescent="0.25">
      <c r="A149" s="391" t="s">
        <v>532</v>
      </c>
      <c r="B149" s="398" t="e">
        <f>+#REF!/1000</f>
        <v>#REF!</v>
      </c>
      <c r="C149" s="398" t="e">
        <f>+#REF!/1000</f>
        <v>#REF!</v>
      </c>
      <c r="D149" s="398" t="e">
        <f>+#REF!/1000</f>
        <v>#REF!</v>
      </c>
      <c r="E149" s="392" t="e">
        <f t="shared" si="6"/>
        <v>#REF!</v>
      </c>
      <c r="F149" s="393" t="e">
        <f t="shared" si="7"/>
        <v>#REF!</v>
      </c>
      <c r="I149" s="382"/>
      <c r="J149" s="380"/>
      <c r="K149" s="380"/>
      <c r="L149" s="380"/>
      <c r="M149" s="380"/>
      <c r="N149" s="380"/>
      <c r="O149" s="380"/>
      <c r="P149" s="380"/>
      <c r="Q149" s="380"/>
      <c r="R149" s="380"/>
    </row>
    <row r="150" spans="1:18" s="381" customFormat="1" hidden="1" x14ac:dyDescent="0.25">
      <c r="A150" s="397" t="s">
        <v>517</v>
      </c>
      <c r="B150" s="398" t="e">
        <f>+#REF!/1000</f>
        <v>#REF!</v>
      </c>
      <c r="C150" s="398" t="e">
        <f>+#REF!/1000</f>
        <v>#REF!</v>
      </c>
      <c r="D150" s="398" t="e">
        <f>+#REF!/1000</f>
        <v>#REF!</v>
      </c>
      <c r="E150" s="392" t="e">
        <f t="shared" si="6"/>
        <v>#REF!</v>
      </c>
      <c r="F150" s="393" t="e">
        <f t="shared" si="7"/>
        <v>#REF!</v>
      </c>
      <c r="I150" s="382"/>
      <c r="J150" s="380"/>
      <c r="K150" s="380"/>
      <c r="L150" s="380"/>
      <c r="M150" s="380"/>
      <c r="N150" s="380"/>
      <c r="O150" s="380"/>
      <c r="P150" s="380"/>
      <c r="Q150" s="380"/>
      <c r="R150" s="380"/>
    </row>
    <row r="151" spans="1:18" s="381" customFormat="1" hidden="1" x14ac:dyDescent="0.25">
      <c r="A151" s="397" t="s">
        <v>518</v>
      </c>
      <c r="B151" s="398" t="e">
        <f>+#REF!/1000</f>
        <v>#REF!</v>
      </c>
      <c r="C151" s="398" t="e">
        <f>+#REF!/1000</f>
        <v>#REF!</v>
      </c>
      <c r="D151" s="398" t="e">
        <f>+#REF!/1000</f>
        <v>#REF!</v>
      </c>
      <c r="E151" s="392" t="e">
        <f t="shared" si="6"/>
        <v>#REF!</v>
      </c>
      <c r="F151" s="393" t="e">
        <f t="shared" si="7"/>
        <v>#REF!</v>
      </c>
      <c r="I151" s="382"/>
      <c r="J151" s="380"/>
      <c r="K151" s="380"/>
      <c r="L151" s="380"/>
      <c r="M151" s="380"/>
      <c r="N151" s="380"/>
      <c r="O151" s="380"/>
      <c r="P151" s="380"/>
      <c r="Q151" s="380"/>
      <c r="R151" s="380"/>
    </row>
    <row r="152" spans="1:18" s="381" customFormat="1" ht="26.4" hidden="1" x14ac:dyDescent="0.25">
      <c r="A152" s="397" t="s">
        <v>533</v>
      </c>
      <c r="B152" s="398" t="e">
        <f>+#REF!/1000</f>
        <v>#REF!</v>
      </c>
      <c r="C152" s="398" t="e">
        <f>+#REF!/1000</f>
        <v>#REF!</v>
      </c>
      <c r="D152" s="398" t="e">
        <f>+#REF!/1000</f>
        <v>#REF!</v>
      </c>
      <c r="E152" s="392" t="e">
        <f t="shared" si="6"/>
        <v>#REF!</v>
      </c>
      <c r="F152" s="393" t="e">
        <f t="shared" si="7"/>
        <v>#REF!</v>
      </c>
      <c r="I152" s="382"/>
      <c r="J152" s="380"/>
      <c r="K152" s="380"/>
      <c r="L152" s="380"/>
      <c r="M152" s="380"/>
      <c r="N152" s="380"/>
      <c r="O152" s="380"/>
      <c r="P152" s="380"/>
      <c r="Q152" s="380"/>
      <c r="R152" s="380"/>
    </row>
    <row r="153" spans="1:18" s="381" customFormat="1" hidden="1" x14ac:dyDescent="0.25">
      <c r="A153" s="397" t="s">
        <v>534</v>
      </c>
      <c r="B153" s="398" t="e">
        <f>+#REF!/1000</f>
        <v>#REF!</v>
      </c>
      <c r="C153" s="398" t="e">
        <f>+#REF!/1000</f>
        <v>#REF!</v>
      </c>
      <c r="D153" s="398" t="e">
        <f>+#REF!/1000</f>
        <v>#REF!</v>
      </c>
      <c r="E153" s="392" t="e">
        <f t="shared" si="6"/>
        <v>#REF!</v>
      </c>
      <c r="F153" s="393" t="e">
        <f t="shared" si="7"/>
        <v>#REF!</v>
      </c>
      <c r="I153" s="382"/>
      <c r="J153" s="380"/>
      <c r="K153" s="380"/>
      <c r="L153" s="380"/>
      <c r="M153" s="380"/>
      <c r="N153" s="380"/>
      <c r="O153" s="380"/>
      <c r="P153" s="380"/>
      <c r="Q153" s="380"/>
      <c r="R153" s="380"/>
    </row>
    <row r="154" spans="1:18" s="381" customFormat="1" hidden="1" x14ac:dyDescent="0.25">
      <c r="A154" s="397" t="s">
        <v>535</v>
      </c>
      <c r="B154" s="398" t="e">
        <f>+#REF!/1000</f>
        <v>#REF!</v>
      </c>
      <c r="C154" s="398" t="e">
        <f>+#REF!/1000</f>
        <v>#REF!</v>
      </c>
      <c r="D154" s="398" t="e">
        <f>+#REF!/1000</f>
        <v>#REF!</v>
      </c>
      <c r="E154" s="392" t="e">
        <f t="shared" si="6"/>
        <v>#REF!</v>
      </c>
      <c r="F154" s="393" t="e">
        <f t="shared" si="7"/>
        <v>#REF!</v>
      </c>
      <c r="I154" s="382"/>
      <c r="J154" s="380"/>
      <c r="K154" s="380"/>
      <c r="L154" s="380"/>
      <c r="M154" s="380"/>
      <c r="N154" s="380"/>
      <c r="O154" s="380"/>
      <c r="P154" s="380"/>
      <c r="Q154" s="380"/>
      <c r="R154" s="380"/>
    </row>
    <row r="155" spans="1:18" s="381" customFormat="1" ht="26.4" hidden="1" x14ac:dyDescent="0.25">
      <c r="A155" s="397" t="s">
        <v>536</v>
      </c>
      <c r="B155" s="398" t="e">
        <f>+#REF!/1000</f>
        <v>#REF!</v>
      </c>
      <c r="C155" s="398" t="e">
        <f>+#REF!/1000</f>
        <v>#REF!</v>
      </c>
      <c r="D155" s="398" t="e">
        <f>+#REF!/1000</f>
        <v>#REF!</v>
      </c>
      <c r="E155" s="392" t="e">
        <f t="shared" si="6"/>
        <v>#REF!</v>
      </c>
      <c r="F155" s="393" t="e">
        <f t="shared" si="7"/>
        <v>#REF!</v>
      </c>
      <c r="I155" s="382"/>
      <c r="J155" s="380"/>
      <c r="K155" s="380"/>
      <c r="L155" s="380"/>
      <c r="M155" s="380"/>
      <c r="N155" s="380"/>
      <c r="O155" s="380"/>
      <c r="P155" s="380"/>
      <c r="Q155" s="380"/>
      <c r="R155" s="380"/>
    </row>
    <row r="156" spans="1:18" s="381" customFormat="1" hidden="1" x14ac:dyDescent="0.25">
      <c r="A156" s="397" t="s">
        <v>513</v>
      </c>
      <c r="B156" s="398" t="e">
        <f>+#REF!/1000</f>
        <v>#REF!</v>
      </c>
      <c r="C156" s="398" t="e">
        <f>+#REF!/1000</f>
        <v>#REF!</v>
      </c>
      <c r="D156" s="398" t="e">
        <f>+#REF!/1000</f>
        <v>#REF!</v>
      </c>
      <c r="E156" s="392" t="e">
        <f t="shared" si="6"/>
        <v>#REF!</v>
      </c>
      <c r="F156" s="393" t="e">
        <f t="shared" si="7"/>
        <v>#REF!</v>
      </c>
      <c r="I156" s="382"/>
      <c r="J156" s="380"/>
      <c r="K156" s="380"/>
      <c r="L156" s="380"/>
      <c r="M156" s="380"/>
      <c r="N156" s="380"/>
      <c r="O156" s="380"/>
      <c r="P156" s="380"/>
      <c r="Q156" s="380"/>
      <c r="R156" s="380"/>
    </row>
    <row r="157" spans="1:18" s="381" customFormat="1" hidden="1" x14ac:dyDescent="0.25">
      <c r="A157" s="397" t="s">
        <v>537</v>
      </c>
      <c r="B157" s="398" t="e">
        <f>+#REF!/1000</f>
        <v>#REF!</v>
      </c>
      <c r="C157" s="398" t="e">
        <f>+#REF!/1000</f>
        <v>#REF!</v>
      </c>
      <c r="D157" s="398" t="e">
        <f>+#REF!/1000</f>
        <v>#REF!</v>
      </c>
      <c r="E157" s="392" t="e">
        <f t="shared" si="6"/>
        <v>#REF!</v>
      </c>
      <c r="F157" s="393" t="e">
        <f t="shared" si="7"/>
        <v>#REF!</v>
      </c>
      <c r="I157" s="382"/>
      <c r="J157" s="380"/>
      <c r="K157" s="380"/>
      <c r="L157" s="380"/>
      <c r="M157" s="380"/>
      <c r="N157" s="380"/>
      <c r="O157" s="380"/>
      <c r="P157" s="380"/>
      <c r="Q157" s="380"/>
      <c r="R157" s="380"/>
    </row>
    <row r="158" spans="1:18" s="381" customFormat="1" hidden="1" x14ac:dyDescent="0.25">
      <c r="A158" s="396" t="s">
        <v>30</v>
      </c>
      <c r="B158" s="389" t="e">
        <f>+#REF!/1000</f>
        <v>#REF!</v>
      </c>
      <c r="C158" s="389" t="e">
        <f>+#REF!/1000</f>
        <v>#REF!</v>
      </c>
      <c r="D158" s="389" t="e">
        <f>+#REF!/1000</f>
        <v>#REF!</v>
      </c>
      <c r="E158" s="392" t="e">
        <f t="shared" si="6"/>
        <v>#REF!</v>
      </c>
      <c r="F158" s="393" t="e">
        <f t="shared" si="7"/>
        <v>#REF!</v>
      </c>
      <c r="I158" s="382"/>
      <c r="J158" s="380"/>
      <c r="K158" s="380"/>
      <c r="L158" s="380"/>
      <c r="M158" s="380"/>
      <c r="N158" s="380"/>
      <c r="O158" s="380"/>
      <c r="P158" s="380"/>
      <c r="Q158" s="380"/>
      <c r="R158" s="380"/>
    </row>
    <row r="159" spans="1:18" s="381" customFormat="1" hidden="1" x14ac:dyDescent="0.25">
      <c r="A159" s="388" t="s">
        <v>482</v>
      </c>
      <c r="B159" s="389" t="e">
        <f>+#REF!/1000</f>
        <v>#REF!</v>
      </c>
      <c r="C159" s="389" t="e">
        <f>+#REF!/1000</f>
        <v>#REF!</v>
      </c>
      <c r="D159" s="389" t="e">
        <f>+#REF!/1000</f>
        <v>#REF!</v>
      </c>
      <c r="E159" s="392" t="e">
        <f t="shared" si="6"/>
        <v>#REF!</v>
      </c>
      <c r="F159" s="393" t="e">
        <f t="shared" si="7"/>
        <v>#REF!</v>
      </c>
      <c r="I159" s="382"/>
      <c r="J159" s="380"/>
      <c r="K159" s="380"/>
      <c r="L159" s="380"/>
      <c r="M159" s="380"/>
      <c r="N159" s="380"/>
      <c r="O159" s="380"/>
      <c r="P159" s="380"/>
      <c r="Q159" s="380"/>
      <c r="R159" s="380"/>
    </row>
    <row r="160" spans="1:18" s="381" customFormat="1" ht="39.6" hidden="1" x14ac:dyDescent="0.25">
      <c r="A160" s="397" t="s">
        <v>538</v>
      </c>
      <c r="B160" s="398" t="e">
        <f>+#REF!/1000</f>
        <v>#REF!</v>
      </c>
      <c r="C160" s="398" t="e">
        <f>+#REF!/1000</f>
        <v>#REF!</v>
      </c>
      <c r="D160" s="398" t="e">
        <f>+#REF!/1000</f>
        <v>#REF!</v>
      </c>
      <c r="E160" s="392" t="e">
        <f t="shared" si="6"/>
        <v>#REF!</v>
      </c>
      <c r="F160" s="393" t="e">
        <f t="shared" si="7"/>
        <v>#REF!</v>
      </c>
      <c r="I160" s="382"/>
      <c r="J160" s="380"/>
      <c r="K160" s="380"/>
      <c r="L160" s="380"/>
      <c r="M160" s="380"/>
      <c r="N160" s="380"/>
      <c r="O160" s="380"/>
      <c r="P160" s="380"/>
      <c r="Q160" s="380"/>
      <c r="R160" s="380"/>
    </row>
    <row r="161" spans="1:18" s="381" customFormat="1" ht="26.4" hidden="1" x14ac:dyDescent="0.25">
      <c r="A161" s="397" t="s">
        <v>511</v>
      </c>
      <c r="B161" s="398" t="e">
        <f>+#REF!/1000</f>
        <v>#REF!</v>
      </c>
      <c r="C161" s="398" t="e">
        <f>+#REF!/1000</f>
        <v>#REF!</v>
      </c>
      <c r="D161" s="398" t="e">
        <f>+#REF!/1000</f>
        <v>#REF!</v>
      </c>
      <c r="E161" s="392" t="e">
        <f t="shared" si="6"/>
        <v>#REF!</v>
      </c>
      <c r="F161" s="393" t="e">
        <f t="shared" si="7"/>
        <v>#REF!</v>
      </c>
      <c r="I161" s="382"/>
      <c r="J161" s="380"/>
      <c r="K161" s="380"/>
      <c r="L161" s="380"/>
      <c r="M161" s="380"/>
      <c r="N161" s="380"/>
      <c r="O161" s="380"/>
      <c r="P161" s="380"/>
      <c r="Q161" s="380"/>
      <c r="R161" s="380"/>
    </row>
    <row r="162" spans="1:18" s="381" customFormat="1" ht="26.4" hidden="1" x14ac:dyDescent="0.25">
      <c r="A162" s="397" t="s">
        <v>512</v>
      </c>
      <c r="B162" s="398" t="e">
        <f>+#REF!/1000</f>
        <v>#REF!</v>
      </c>
      <c r="C162" s="398" t="e">
        <f>+#REF!/1000</f>
        <v>#REF!</v>
      </c>
      <c r="D162" s="398" t="e">
        <f>+#REF!/1000</f>
        <v>#REF!</v>
      </c>
      <c r="E162" s="392" t="e">
        <f t="shared" si="6"/>
        <v>#REF!</v>
      </c>
      <c r="F162" s="393" t="e">
        <f t="shared" si="7"/>
        <v>#REF!</v>
      </c>
      <c r="I162" s="382"/>
      <c r="J162" s="380"/>
      <c r="K162" s="380"/>
      <c r="L162" s="380"/>
      <c r="M162" s="380"/>
      <c r="N162" s="380"/>
      <c r="O162" s="380"/>
      <c r="P162" s="380"/>
      <c r="Q162" s="380"/>
      <c r="R162" s="380"/>
    </row>
    <row r="163" spans="1:18" s="381" customFormat="1" hidden="1" x14ac:dyDescent="0.25">
      <c r="A163" s="397" t="s">
        <v>513</v>
      </c>
      <c r="B163" s="398" t="e">
        <f>+#REF!/1000</f>
        <v>#REF!</v>
      </c>
      <c r="C163" s="398" t="e">
        <f>+#REF!/1000</f>
        <v>#REF!</v>
      </c>
      <c r="D163" s="398" t="e">
        <f>+#REF!/1000</f>
        <v>#REF!</v>
      </c>
      <c r="E163" s="392" t="e">
        <f t="shared" si="6"/>
        <v>#REF!</v>
      </c>
      <c r="F163" s="393" t="e">
        <f t="shared" si="7"/>
        <v>#REF!</v>
      </c>
      <c r="I163" s="382"/>
      <c r="J163" s="380"/>
      <c r="K163" s="380"/>
      <c r="L163" s="380"/>
      <c r="M163" s="380"/>
      <c r="N163" s="380"/>
      <c r="O163" s="380"/>
      <c r="P163" s="380"/>
      <c r="Q163" s="380"/>
      <c r="R163" s="380"/>
    </row>
    <row r="164" spans="1:18" s="381" customFormat="1" hidden="1" x14ac:dyDescent="0.25">
      <c r="A164" s="397" t="s">
        <v>537</v>
      </c>
      <c r="B164" s="398" t="e">
        <f>+#REF!/1000</f>
        <v>#REF!</v>
      </c>
      <c r="C164" s="398" t="e">
        <f>+#REF!/1000</f>
        <v>#REF!</v>
      </c>
      <c r="D164" s="398" t="e">
        <f>+#REF!/1000</f>
        <v>#REF!</v>
      </c>
      <c r="E164" s="392" t="e">
        <f t="shared" si="6"/>
        <v>#REF!</v>
      </c>
      <c r="F164" s="393" t="e">
        <f t="shared" si="7"/>
        <v>#REF!</v>
      </c>
      <c r="I164" s="382"/>
      <c r="J164" s="380"/>
      <c r="K164" s="380"/>
      <c r="L164" s="380"/>
      <c r="M164" s="380"/>
      <c r="N164" s="380"/>
      <c r="O164" s="380"/>
      <c r="P164" s="380"/>
      <c r="Q164" s="380"/>
      <c r="R164" s="380"/>
    </row>
    <row r="165" spans="1:18" s="381" customFormat="1" ht="79.2" hidden="1" x14ac:dyDescent="0.25">
      <c r="A165" s="397" t="s">
        <v>539</v>
      </c>
      <c r="B165" s="398" t="e">
        <f>+#REF!/1000</f>
        <v>#REF!</v>
      </c>
      <c r="C165" s="398" t="e">
        <f>+#REF!/1000</f>
        <v>#REF!</v>
      </c>
      <c r="D165" s="398" t="e">
        <f>+#REF!/1000</f>
        <v>#REF!</v>
      </c>
      <c r="E165" s="392" t="e">
        <f t="shared" si="6"/>
        <v>#REF!</v>
      </c>
      <c r="F165" s="393" t="e">
        <f t="shared" si="7"/>
        <v>#REF!</v>
      </c>
      <c r="I165" s="382"/>
      <c r="J165" s="380"/>
      <c r="K165" s="380"/>
      <c r="L165" s="380"/>
      <c r="M165" s="380"/>
      <c r="N165" s="380"/>
      <c r="O165" s="380"/>
      <c r="P165" s="380"/>
      <c r="Q165" s="380"/>
      <c r="R165" s="380"/>
    </row>
    <row r="166" spans="1:18" s="381" customFormat="1" hidden="1" x14ac:dyDescent="0.25">
      <c r="A166" s="397" t="s">
        <v>517</v>
      </c>
      <c r="B166" s="398" t="e">
        <f>+#REF!/1000</f>
        <v>#REF!</v>
      </c>
      <c r="C166" s="398" t="e">
        <f>+#REF!/1000</f>
        <v>#REF!</v>
      </c>
      <c r="D166" s="398" t="e">
        <f>+#REF!/1000</f>
        <v>#REF!</v>
      </c>
      <c r="E166" s="392" t="e">
        <f t="shared" si="6"/>
        <v>#REF!</v>
      </c>
      <c r="F166" s="393" t="e">
        <f t="shared" si="7"/>
        <v>#REF!</v>
      </c>
      <c r="I166" s="382"/>
      <c r="J166" s="380"/>
      <c r="K166" s="380"/>
      <c r="L166" s="380"/>
      <c r="M166" s="380"/>
      <c r="N166" s="380"/>
      <c r="O166" s="380"/>
      <c r="P166" s="380"/>
      <c r="Q166" s="380"/>
      <c r="R166" s="380"/>
    </row>
    <row r="167" spans="1:18" s="381" customFormat="1" hidden="1" x14ac:dyDescent="0.25">
      <c r="A167" s="397" t="s">
        <v>540</v>
      </c>
      <c r="B167" s="398" t="e">
        <f>+#REF!/1000</f>
        <v>#REF!</v>
      </c>
      <c r="C167" s="398" t="e">
        <f>+#REF!/1000</f>
        <v>#REF!</v>
      </c>
      <c r="D167" s="398" t="e">
        <f>+#REF!/1000</f>
        <v>#REF!</v>
      </c>
      <c r="E167" s="392" t="e">
        <f t="shared" si="6"/>
        <v>#REF!</v>
      </c>
      <c r="F167" s="393" t="e">
        <f t="shared" si="7"/>
        <v>#REF!</v>
      </c>
      <c r="I167" s="382"/>
      <c r="J167" s="380"/>
      <c r="K167" s="380"/>
      <c r="L167" s="380"/>
      <c r="M167" s="380"/>
      <c r="N167" s="380"/>
      <c r="O167" s="380"/>
      <c r="P167" s="380"/>
      <c r="Q167" s="380"/>
      <c r="R167" s="380"/>
    </row>
    <row r="168" spans="1:18" s="381" customFormat="1" hidden="1" x14ac:dyDescent="0.25">
      <c r="A168" s="399" t="s">
        <v>30</v>
      </c>
      <c r="B168" s="398" t="e">
        <f>+#REF!/1000</f>
        <v>#REF!</v>
      </c>
      <c r="C168" s="398" t="e">
        <f>+#REF!/1000</f>
        <v>#REF!</v>
      </c>
      <c r="D168" s="398" t="e">
        <f>+#REF!/1000</f>
        <v>#REF!</v>
      </c>
      <c r="E168" s="392" t="e">
        <f t="shared" si="6"/>
        <v>#REF!</v>
      </c>
      <c r="F168" s="393" t="e">
        <f t="shared" si="7"/>
        <v>#REF!</v>
      </c>
      <c r="I168" s="382"/>
      <c r="J168" s="380"/>
      <c r="K168" s="380"/>
      <c r="L168" s="380"/>
      <c r="M168" s="380"/>
      <c r="N168" s="380"/>
      <c r="O168" s="380"/>
      <c r="P168" s="380"/>
      <c r="Q168" s="380"/>
      <c r="R168" s="380"/>
    </row>
    <row r="169" spans="1:18" s="381" customFormat="1" ht="39.6" hidden="1" x14ac:dyDescent="0.25">
      <c r="A169" s="400" t="s">
        <v>541</v>
      </c>
      <c r="B169" s="389" t="e">
        <f>+#REF!/1000</f>
        <v>#REF!</v>
      </c>
      <c r="C169" s="389" t="e">
        <f>+#REF!/1000</f>
        <v>#REF!</v>
      </c>
      <c r="D169" s="389" t="e">
        <f>+#REF!/1000</f>
        <v>#REF!</v>
      </c>
      <c r="E169" s="392" t="e">
        <f t="shared" si="6"/>
        <v>#REF!</v>
      </c>
      <c r="F169" s="393" t="e">
        <f t="shared" si="7"/>
        <v>#REF!</v>
      </c>
      <c r="I169" s="382"/>
      <c r="J169" s="380"/>
      <c r="K169" s="380"/>
      <c r="L169" s="380"/>
      <c r="M169" s="380"/>
      <c r="N169" s="380"/>
      <c r="O169" s="380"/>
      <c r="P169" s="380"/>
      <c r="Q169" s="380"/>
      <c r="R169" s="380"/>
    </row>
    <row r="170" spans="1:18" s="381" customFormat="1" ht="52.8" hidden="1" x14ac:dyDescent="0.25">
      <c r="A170" s="397" t="s">
        <v>542</v>
      </c>
      <c r="B170" s="392" t="e">
        <f>+#REF!/1000</f>
        <v>#REF!</v>
      </c>
      <c r="C170" s="392" t="e">
        <f>+#REF!/1000</f>
        <v>#REF!</v>
      </c>
      <c r="D170" s="392" t="e">
        <f>+#REF!/1000</f>
        <v>#REF!</v>
      </c>
      <c r="E170" s="392" t="e">
        <f t="shared" si="6"/>
        <v>#REF!</v>
      </c>
      <c r="F170" s="393" t="e">
        <f t="shared" si="7"/>
        <v>#REF!</v>
      </c>
      <c r="I170" s="382"/>
      <c r="J170" s="380"/>
      <c r="K170" s="380"/>
      <c r="L170" s="380"/>
      <c r="M170" s="380"/>
      <c r="N170" s="380"/>
      <c r="O170" s="380"/>
      <c r="P170" s="380"/>
      <c r="Q170" s="380"/>
      <c r="R170" s="380"/>
    </row>
    <row r="171" spans="1:18" s="381" customFormat="1" ht="39.6" hidden="1" x14ac:dyDescent="0.25">
      <c r="A171" s="397" t="s">
        <v>543</v>
      </c>
      <c r="B171" s="392" t="e">
        <f>+#REF!/1000</f>
        <v>#REF!</v>
      </c>
      <c r="C171" s="392" t="e">
        <f>+#REF!/1000</f>
        <v>#REF!</v>
      </c>
      <c r="D171" s="392" t="e">
        <f>+#REF!/1000</f>
        <v>#REF!</v>
      </c>
      <c r="E171" s="392" t="e">
        <f t="shared" si="6"/>
        <v>#REF!</v>
      </c>
      <c r="F171" s="393" t="e">
        <f t="shared" si="7"/>
        <v>#REF!</v>
      </c>
      <c r="I171" s="382"/>
      <c r="J171" s="380"/>
      <c r="K171" s="380"/>
      <c r="L171" s="380"/>
      <c r="M171" s="380"/>
      <c r="N171" s="380"/>
      <c r="O171" s="380"/>
      <c r="P171" s="380"/>
      <c r="Q171" s="380"/>
      <c r="R171" s="380"/>
    </row>
    <row r="172" spans="1:18" s="381" customFormat="1" ht="26.4" hidden="1" x14ac:dyDescent="0.25">
      <c r="A172" s="397" t="s">
        <v>533</v>
      </c>
      <c r="B172" s="392" t="e">
        <f>+#REF!/1000</f>
        <v>#REF!</v>
      </c>
      <c r="C172" s="392" t="e">
        <f>+#REF!/1000</f>
        <v>#REF!</v>
      </c>
      <c r="D172" s="392" t="e">
        <f>+#REF!/1000</f>
        <v>#REF!</v>
      </c>
      <c r="E172" s="392" t="e">
        <f t="shared" si="6"/>
        <v>#REF!</v>
      </c>
      <c r="F172" s="393" t="e">
        <f t="shared" si="7"/>
        <v>#REF!</v>
      </c>
      <c r="I172" s="382"/>
      <c r="J172" s="380"/>
      <c r="K172" s="380"/>
      <c r="L172" s="380"/>
      <c r="M172" s="380"/>
      <c r="N172" s="380"/>
      <c r="O172" s="380"/>
      <c r="P172" s="380"/>
      <c r="Q172" s="380"/>
      <c r="R172" s="380"/>
    </row>
    <row r="173" spans="1:18" s="381" customFormat="1" hidden="1" x14ac:dyDescent="0.25">
      <c r="A173" s="397" t="s">
        <v>534</v>
      </c>
      <c r="B173" s="392" t="e">
        <f>+#REF!/1000</f>
        <v>#REF!</v>
      </c>
      <c r="C173" s="392" t="e">
        <f>+#REF!/1000</f>
        <v>#REF!</v>
      </c>
      <c r="D173" s="392" t="e">
        <f>+#REF!/1000</f>
        <v>#REF!</v>
      </c>
      <c r="E173" s="392" t="e">
        <f t="shared" si="6"/>
        <v>#REF!</v>
      </c>
      <c r="F173" s="393" t="e">
        <f t="shared" si="7"/>
        <v>#REF!</v>
      </c>
      <c r="I173" s="382"/>
      <c r="J173" s="380"/>
      <c r="K173" s="380"/>
      <c r="L173" s="380"/>
      <c r="M173" s="380"/>
      <c r="N173" s="380"/>
      <c r="O173" s="380"/>
      <c r="P173" s="380"/>
      <c r="Q173" s="380"/>
      <c r="R173" s="380"/>
    </row>
    <row r="174" spans="1:18" s="381" customFormat="1" hidden="1" x14ac:dyDescent="0.25">
      <c r="A174" s="397" t="s">
        <v>535</v>
      </c>
      <c r="B174" s="392" t="e">
        <f>+#REF!/1000</f>
        <v>#REF!</v>
      </c>
      <c r="C174" s="392" t="e">
        <f>+#REF!/1000</f>
        <v>#REF!</v>
      </c>
      <c r="D174" s="392" t="e">
        <f>+#REF!/1000</f>
        <v>#REF!</v>
      </c>
      <c r="E174" s="392" t="e">
        <f t="shared" si="6"/>
        <v>#REF!</v>
      </c>
      <c r="F174" s="393" t="e">
        <f t="shared" si="7"/>
        <v>#REF!</v>
      </c>
      <c r="I174" s="382"/>
      <c r="J174" s="380"/>
      <c r="K174" s="380"/>
      <c r="L174" s="380"/>
      <c r="M174" s="380"/>
      <c r="N174" s="380"/>
      <c r="O174" s="380"/>
      <c r="P174" s="380"/>
      <c r="Q174" s="380"/>
      <c r="R174" s="380"/>
    </row>
    <row r="175" spans="1:18" s="381" customFormat="1" ht="92.4" hidden="1" x14ac:dyDescent="0.25">
      <c r="A175" s="401" t="s">
        <v>544</v>
      </c>
      <c r="B175" s="398" t="e">
        <f>+#REF!/1000</f>
        <v>#REF!</v>
      </c>
      <c r="C175" s="398" t="e">
        <f>+#REF!/1000</f>
        <v>#REF!</v>
      </c>
      <c r="D175" s="398" t="e">
        <f>+#REF!/1000</f>
        <v>#REF!</v>
      </c>
      <c r="E175" s="392" t="e">
        <f t="shared" si="6"/>
        <v>#REF!</v>
      </c>
      <c r="F175" s="393" t="e">
        <f t="shared" si="7"/>
        <v>#REF!</v>
      </c>
      <c r="I175" s="382"/>
      <c r="J175" s="380"/>
      <c r="K175" s="380"/>
      <c r="L175" s="380"/>
      <c r="M175" s="380"/>
      <c r="N175" s="380"/>
      <c r="O175" s="380"/>
      <c r="P175" s="380"/>
      <c r="Q175" s="380"/>
      <c r="R175" s="380"/>
    </row>
    <row r="176" spans="1:18" s="381" customFormat="1" ht="92.4" hidden="1" x14ac:dyDescent="0.25">
      <c r="A176" s="397" t="s">
        <v>545</v>
      </c>
      <c r="B176" s="398" t="e">
        <f>+#REF!/1000</f>
        <v>#REF!</v>
      </c>
      <c r="C176" s="398" t="e">
        <f>+#REF!/1000</f>
        <v>#REF!</v>
      </c>
      <c r="D176" s="398" t="e">
        <f>+#REF!/1000</f>
        <v>#REF!</v>
      </c>
      <c r="E176" s="392" t="e">
        <f t="shared" si="6"/>
        <v>#REF!</v>
      </c>
      <c r="F176" s="393" t="e">
        <f t="shared" si="7"/>
        <v>#REF!</v>
      </c>
      <c r="I176" s="382"/>
      <c r="J176" s="380"/>
      <c r="K176" s="380"/>
      <c r="L176" s="380"/>
      <c r="M176" s="380"/>
      <c r="N176" s="380"/>
      <c r="O176" s="380"/>
      <c r="P176" s="380"/>
      <c r="Q176" s="380"/>
      <c r="R176" s="380"/>
    </row>
    <row r="177" spans="1:18" s="381" customFormat="1" ht="26.4" hidden="1" x14ac:dyDescent="0.25">
      <c r="A177" s="397" t="s">
        <v>533</v>
      </c>
      <c r="B177" s="398" t="e">
        <f>+#REF!/1000</f>
        <v>#REF!</v>
      </c>
      <c r="C177" s="398" t="e">
        <f>+#REF!/1000</f>
        <v>#REF!</v>
      </c>
      <c r="D177" s="398" t="e">
        <f>+#REF!/1000</f>
        <v>#REF!</v>
      </c>
      <c r="E177" s="392" t="e">
        <f t="shared" si="6"/>
        <v>#REF!</v>
      </c>
      <c r="F177" s="393" t="e">
        <f t="shared" si="7"/>
        <v>#REF!</v>
      </c>
      <c r="I177" s="382"/>
      <c r="J177" s="380"/>
      <c r="K177" s="380"/>
      <c r="L177" s="380"/>
      <c r="M177" s="380"/>
      <c r="N177" s="380"/>
      <c r="O177" s="380"/>
      <c r="P177" s="380"/>
      <c r="Q177" s="380"/>
      <c r="R177" s="380"/>
    </row>
    <row r="178" spans="1:18" s="381" customFormat="1" hidden="1" x14ac:dyDescent="0.25">
      <c r="A178" s="397" t="s">
        <v>534</v>
      </c>
      <c r="B178" s="392" t="e">
        <f>+#REF!/1000</f>
        <v>#REF!</v>
      </c>
      <c r="C178" s="392" t="e">
        <f>+#REF!/1000</f>
        <v>#REF!</v>
      </c>
      <c r="D178" s="392" t="e">
        <f>+#REF!/1000</f>
        <v>#REF!</v>
      </c>
      <c r="E178" s="392" t="e">
        <f t="shared" si="6"/>
        <v>#REF!</v>
      </c>
      <c r="F178" s="393" t="e">
        <f t="shared" si="7"/>
        <v>#REF!</v>
      </c>
      <c r="I178" s="382"/>
      <c r="J178" s="380"/>
      <c r="K178" s="380"/>
      <c r="L178" s="380"/>
      <c r="M178" s="380"/>
      <c r="N178" s="380"/>
      <c r="O178" s="380"/>
      <c r="P178" s="380"/>
      <c r="Q178" s="380"/>
      <c r="R178" s="380"/>
    </row>
    <row r="179" spans="1:18" s="381" customFormat="1" hidden="1" x14ac:dyDescent="0.25">
      <c r="A179" s="391" t="s">
        <v>535</v>
      </c>
      <c r="B179" s="392" t="e">
        <f>+#REF!/1000</f>
        <v>#REF!</v>
      </c>
      <c r="C179" s="392" t="e">
        <f>+#REF!/1000</f>
        <v>#REF!</v>
      </c>
      <c r="D179" s="392" t="e">
        <f>+#REF!/1000</f>
        <v>#REF!</v>
      </c>
      <c r="E179" s="392" t="e">
        <f t="shared" si="6"/>
        <v>#REF!</v>
      </c>
      <c r="F179" s="393" t="e">
        <f t="shared" si="7"/>
        <v>#REF!</v>
      </c>
      <c r="I179" s="382"/>
      <c r="J179" s="380"/>
      <c r="K179" s="380"/>
      <c r="L179" s="380"/>
      <c r="M179" s="380"/>
      <c r="N179" s="380"/>
      <c r="O179" s="380"/>
      <c r="P179" s="380"/>
      <c r="Q179" s="380"/>
      <c r="R179" s="380"/>
    </row>
    <row r="180" spans="1:18" s="381" customFormat="1" hidden="1" x14ac:dyDescent="0.25">
      <c r="A180" s="396" t="s">
        <v>30</v>
      </c>
      <c r="B180" s="389" t="e">
        <f>+#REF!/1000</f>
        <v>#REF!</v>
      </c>
      <c r="C180" s="389" t="e">
        <f>+#REF!/1000</f>
        <v>#REF!</v>
      </c>
      <c r="D180" s="389" t="e">
        <f>+#REF!/1000</f>
        <v>#REF!</v>
      </c>
      <c r="E180" s="392" t="e">
        <f t="shared" si="6"/>
        <v>#REF!</v>
      </c>
      <c r="F180" s="393" t="e">
        <f t="shared" si="7"/>
        <v>#REF!</v>
      </c>
      <c r="I180" s="382"/>
      <c r="J180" s="380"/>
      <c r="K180" s="380"/>
      <c r="L180" s="380"/>
      <c r="M180" s="380"/>
      <c r="N180" s="380"/>
      <c r="O180" s="380"/>
      <c r="P180" s="380"/>
      <c r="Q180" s="380"/>
      <c r="R180" s="380"/>
    </row>
    <row r="181" spans="1:18" s="381" customFormat="1" ht="66" hidden="1" x14ac:dyDescent="0.25">
      <c r="A181" s="388" t="s">
        <v>546</v>
      </c>
      <c r="B181" s="389" t="e">
        <f>+#REF!/1000</f>
        <v>#REF!</v>
      </c>
      <c r="C181" s="389" t="e">
        <f>+#REF!/1000</f>
        <v>#REF!</v>
      </c>
      <c r="D181" s="389" t="e">
        <f>+#REF!/1000</f>
        <v>#REF!</v>
      </c>
      <c r="E181" s="392" t="e">
        <f t="shared" si="6"/>
        <v>#REF!</v>
      </c>
      <c r="F181" s="393" t="e">
        <f t="shared" si="7"/>
        <v>#REF!</v>
      </c>
      <c r="I181" s="382"/>
      <c r="J181" s="380"/>
      <c r="K181" s="380"/>
      <c r="L181" s="380"/>
      <c r="M181" s="380"/>
      <c r="N181" s="380"/>
      <c r="O181" s="380"/>
      <c r="P181" s="380"/>
      <c r="Q181" s="380"/>
      <c r="R181" s="380"/>
    </row>
    <row r="182" spans="1:18" s="381" customFormat="1" ht="66" hidden="1" x14ac:dyDescent="0.25">
      <c r="A182" s="397" t="s">
        <v>546</v>
      </c>
      <c r="B182" s="398" t="e">
        <f>+#REF!/1000</f>
        <v>#REF!</v>
      </c>
      <c r="C182" s="398" t="e">
        <f>+#REF!/1000</f>
        <v>#REF!</v>
      </c>
      <c r="D182" s="398" t="e">
        <f>+#REF!/1000</f>
        <v>#REF!</v>
      </c>
      <c r="E182" s="392" t="e">
        <f t="shared" si="6"/>
        <v>#REF!</v>
      </c>
      <c r="F182" s="393" t="e">
        <f t="shared" si="7"/>
        <v>#REF!</v>
      </c>
      <c r="I182" s="382"/>
      <c r="J182" s="380"/>
      <c r="K182" s="380"/>
      <c r="L182" s="380"/>
      <c r="M182" s="380"/>
      <c r="N182" s="380"/>
      <c r="O182" s="380"/>
      <c r="P182" s="380"/>
      <c r="Q182" s="380"/>
      <c r="R182" s="380"/>
    </row>
    <row r="183" spans="1:18" s="381" customFormat="1" hidden="1" x14ac:dyDescent="0.25">
      <c r="A183" s="397" t="s">
        <v>513</v>
      </c>
      <c r="B183" s="398" t="e">
        <f>+#REF!/1000</f>
        <v>#REF!</v>
      </c>
      <c r="C183" s="398" t="e">
        <f>+#REF!/1000</f>
        <v>#REF!</v>
      </c>
      <c r="D183" s="398" t="e">
        <f>+#REF!/1000</f>
        <v>#REF!</v>
      </c>
      <c r="E183" s="392" t="e">
        <f t="shared" si="6"/>
        <v>#REF!</v>
      </c>
      <c r="F183" s="393" t="e">
        <f t="shared" si="7"/>
        <v>#REF!</v>
      </c>
      <c r="I183" s="382"/>
      <c r="J183" s="380"/>
      <c r="K183" s="380"/>
      <c r="L183" s="380"/>
      <c r="M183" s="380"/>
      <c r="N183" s="380"/>
      <c r="O183" s="380"/>
      <c r="P183" s="380"/>
      <c r="Q183" s="380"/>
      <c r="R183" s="380"/>
    </row>
    <row r="184" spans="1:18" s="381" customFormat="1" hidden="1" x14ac:dyDescent="0.25">
      <c r="A184" s="397" t="s">
        <v>537</v>
      </c>
      <c r="B184" s="398" t="e">
        <f>+#REF!/1000</f>
        <v>#REF!</v>
      </c>
      <c r="C184" s="398" t="e">
        <f>+#REF!/1000</f>
        <v>#REF!</v>
      </c>
      <c r="D184" s="398" t="e">
        <f>+#REF!/1000</f>
        <v>#REF!</v>
      </c>
      <c r="E184" s="392" t="e">
        <f t="shared" si="6"/>
        <v>#REF!</v>
      </c>
      <c r="F184" s="393" t="e">
        <f t="shared" si="7"/>
        <v>#REF!</v>
      </c>
      <c r="I184" s="382"/>
      <c r="J184" s="380"/>
      <c r="K184" s="380"/>
      <c r="L184" s="380"/>
      <c r="M184" s="380"/>
      <c r="N184" s="380"/>
      <c r="O184" s="380"/>
      <c r="P184" s="380"/>
      <c r="Q184" s="380"/>
      <c r="R184" s="380"/>
    </row>
    <row r="185" spans="1:18" s="381" customFormat="1" hidden="1" x14ac:dyDescent="0.25">
      <c r="A185" s="396" t="s">
        <v>30</v>
      </c>
      <c r="B185" s="389" t="e">
        <f>+#REF!/1000</f>
        <v>#REF!</v>
      </c>
      <c r="C185" s="389" t="e">
        <f>+#REF!/1000</f>
        <v>#REF!</v>
      </c>
      <c r="D185" s="389" t="e">
        <f>+#REF!/1000</f>
        <v>#REF!</v>
      </c>
      <c r="E185" s="392" t="e">
        <f t="shared" si="6"/>
        <v>#REF!</v>
      </c>
      <c r="F185" s="393" t="e">
        <f t="shared" si="7"/>
        <v>#REF!</v>
      </c>
      <c r="I185" s="382"/>
      <c r="J185" s="380"/>
      <c r="K185" s="380"/>
      <c r="L185" s="380"/>
      <c r="M185" s="380"/>
      <c r="N185" s="380"/>
      <c r="O185" s="380"/>
      <c r="P185" s="380"/>
      <c r="Q185" s="380"/>
      <c r="R185" s="380"/>
    </row>
    <row r="186" spans="1:18" s="381" customFormat="1" ht="13.8" thickBot="1" x14ac:dyDescent="0.3">
      <c r="A186" s="402" t="s">
        <v>198</v>
      </c>
      <c r="B186" s="403">
        <f>B9+B34+B38</f>
        <v>67656.564599999998</v>
      </c>
      <c r="C186" s="403">
        <f t="shared" ref="C186:D186" si="8">C9+C34+C38</f>
        <v>50152.783799999997</v>
      </c>
      <c r="D186" s="403">
        <f t="shared" si="8"/>
        <v>49364.114400000013</v>
      </c>
      <c r="E186" s="403">
        <f t="shared" si="6"/>
        <v>72.962785934892139</v>
      </c>
      <c r="F186" s="404">
        <f>D186/C186*100</f>
        <v>98.427466353323382</v>
      </c>
      <c r="I186" s="382"/>
      <c r="J186" s="380"/>
      <c r="K186" s="380"/>
      <c r="L186" s="380"/>
      <c r="M186" s="380"/>
      <c r="N186" s="380"/>
      <c r="O186" s="380"/>
      <c r="P186" s="380"/>
      <c r="Q186" s="380"/>
      <c r="R186" s="380"/>
    </row>
    <row r="187" spans="1:18" s="381" customFormat="1" ht="13.8" thickTop="1" x14ac:dyDescent="0.25">
      <c r="A187" s="380"/>
      <c r="B187" s="380"/>
      <c r="C187" s="380"/>
      <c r="D187" s="380"/>
      <c r="E187" s="380"/>
      <c r="F187" s="380"/>
      <c r="I187" s="382"/>
      <c r="J187" s="380"/>
      <c r="K187" s="380"/>
      <c r="L187" s="380"/>
      <c r="M187" s="380"/>
      <c r="N187" s="380"/>
      <c r="O187" s="380"/>
      <c r="P187" s="380"/>
      <c r="Q187" s="380"/>
      <c r="R187" s="380"/>
    </row>
    <row r="188" spans="1:18" s="381" customFormat="1" x14ac:dyDescent="0.25">
      <c r="A188" s="380"/>
      <c r="B188" s="380"/>
      <c r="C188" s="380"/>
      <c r="D188" s="380"/>
      <c r="E188" s="380"/>
      <c r="F188" s="380"/>
      <c r="I188" s="382"/>
      <c r="J188" s="380"/>
      <c r="K188" s="380"/>
      <c r="L188" s="380"/>
      <c r="M188" s="380"/>
      <c r="N188" s="380"/>
      <c r="O188" s="380"/>
      <c r="P188" s="380"/>
      <c r="Q188" s="380"/>
      <c r="R188" s="380"/>
    </row>
    <row r="189" spans="1:18" s="381" customFormat="1" x14ac:dyDescent="0.25">
      <c r="A189" s="380"/>
      <c r="B189" s="380"/>
      <c r="C189" s="380"/>
      <c r="D189" s="380"/>
      <c r="E189" s="380"/>
      <c r="F189" s="380"/>
      <c r="I189" s="382"/>
      <c r="J189" s="380"/>
      <c r="K189" s="380"/>
      <c r="L189" s="380"/>
      <c r="M189" s="380"/>
      <c r="N189" s="380"/>
      <c r="O189" s="380"/>
      <c r="P189" s="380"/>
      <c r="Q189" s="380"/>
      <c r="R189" s="380"/>
    </row>
    <row r="190" spans="1:18" s="381" customFormat="1" x14ac:dyDescent="0.25">
      <c r="A190" s="380"/>
      <c r="B190" s="380"/>
      <c r="C190" s="380"/>
      <c r="D190" s="380"/>
      <c r="E190" s="380"/>
      <c r="F190" s="380"/>
      <c r="I190" s="382"/>
      <c r="J190" s="380"/>
      <c r="K190" s="380"/>
      <c r="L190" s="380"/>
      <c r="M190" s="380"/>
      <c r="N190" s="380"/>
      <c r="O190" s="380"/>
      <c r="P190" s="380"/>
      <c r="Q190" s="380"/>
      <c r="R190" s="380"/>
    </row>
    <row r="199" ht="41.25" customHeight="1" x14ac:dyDescent="0.25"/>
    <row r="200" ht="41.25" customHeight="1" x14ac:dyDescent="0.25"/>
    <row r="201" ht="41.25" customHeight="1" x14ac:dyDescent="0.25"/>
  </sheetData>
  <autoFilter ref="A8:F53"/>
  <mergeCells count="6">
    <mergeCell ref="A3:F3"/>
    <mergeCell ref="A6:A7"/>
    <mergeCell ref="B6:B7"/>
    <mergeCell ref="C6:C7"/>
    <mergeCell ref="D6:D7"/>
    <mergeCell ref="E6:F6"/>
  </mergeCells>
  <pageMargins left="0.78740157480314965" right="0.19685039370078741" top="0.35433070866141736" bottom="0.35433070866141736" header="0.11811023622047245" footer="0.11811023622047245"/>
  <pageSetup paperSize="9" scale="78" fitToHeight="1000" orientation="portrait" r:id="rId1"/>
  <headerFooter>
    <oddFooter>&amp;C&amp;9&amp;P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9"/>
  <sheetViews>
    <sheetView topLeftCell="A121" zoomScale="115" zoomScaleNormal="115" workbookViewId="0">
      <selection activeCell="C126" sqref="C126"/>
    </sheetView>
  </sheetViews>
  <sheetFormatPr defaultColWidth="9.109375" defaultRowHeight="13.2" x14ac:dyDescent="0.25"/>
  <cols>
    <col min="1" max="1" width="6.6640625" style="405" customWidth="1"/>
    <col min="2" max="2" width="59.109375" style="405" customWidth="1"/>
    <col min="3" max="3" width="20.5546875" style="406" hidden="1" customWidth="1"/>
    <col min="4" max="4" width="16.33203125" style="405" hidden="1" customWidth="1"/>
    <col min="5" max="5" width="13.88671875" style="405" hidden="1" customWidth="1"/>
    <col min="6" max="6" width="9.33203125" style="405" hidden="1" customWidth="1"/>
    <col min="7" max="7" width="10.5546875" style="405" hidden="1" customWidth="1"/>
    <col min="8" max="8" width="9.5546875" style="405" hidden="1" customWidth="1"/>
    <col min="9" max="9" width="13" style="405" hidden="1" customWidth="1"/>
    <col min="10" max="10" width="13.109375" style="405" hidden="1" customWidth="1"/>
    <col min="11" max="14" width="9.33203125" style="405" hidden="1" customWidth="1"/>
    <col min="15" max="15" width="12.44140625" style="405" hidden="1" customWidth="1"/>
    <col min="16" max="16" width="40.109375" style="406" customWidth="1"/>
    <col min="17" max="18" width="9.109375" style="405" hidden="1" customWidth="1"/>
    <col min="19" max="19" width="10" style="405" customWidth="1"/>
    <col min="20" max="20" width="10.33203125" style="405" customWidth="1"/>
    <col min="21" max="21" width="12.109375" style="405" customWidth="1"/>
    <col min="22" max="22" width="12.5546875" style="405" customWidth="1"/>
    <col min="23" max="24" width="0" style="405" hidden="1" customWidth="1"/>
    <col min="25" max="25" width="53.5546875" style="406" customWidth="1"/>
    <col min="26" max="26" width="26.44140625" style="405" customWidth="1"/>
    <col min="27" max="16384" width="9.109375" style="405"/>
  </cols>
  <sheetData>
    <row r="1" spans="1:33" x14ac:dyDescent="0.25">
      <c r="Y1" s="443" t="s">
        <v>1142</v>
      </c>
      <c r="Z1" s="407"/>
      <c r="AA1" s="408"/>
      <c r="AB1" s="408"/>
      <c r="AC1" s="408"/>
      <c r="AD1" s="408"/>
      <c r="AE1" s="408"/>
      <c r="AF1" s="408"/>
      <c r="AG1" s="408"/>
    </row>
    <row r="2" spans="1:33" x14ac:dyDescent="0.25">
      <c r="A2" s="488" t="s">
        <v>1143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  <c r="U2" s="488"/>
      <c r="V2" s="488"/>
      <c r="W2" s="488"/>
      <c r="X2" s="488"/>
      <c r="Y2" s="488"/>
    </row>
    <row r="3" spans="1:33" x14ac:dyDescent="0.25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X3" s="488"/>
      <c r="Y3" s="488"/>
    </row>
    <row r="4" spans="1:33" ht="13.8" thickBot="1" x14ac:dyDescent="0.3"/>
    <row r="5" spans="1:33" ht="15" customHeight="1" thickTop="1" x14ac:dyDescent="0.25">
      <c r="A5" s="489" t="s">
        <v>547</v>
      </c>
      <c r="B5" s="491" t="s">
        <v>548</v>
      </c>
      <c r="C5" s="493" t="s">
        <v>549</v>
      </c>
      <c r="D5" s="495" t="s">
        <v>550</v>
      </c>
      <c r="E5" s="495"/>
      <c r="F5" s="495"/>
      <c r="G5" s="495"/>
      <c r="H5" s="495"/>
      <c r="I5" s="495"/>
      <c r="J5" s="495"/>
      <c r="K5" s="495"/>
      <c r="L5" s="495"/>
      <c r="M5" s="495"/>
      <c r="N5" s="495"/>
      <c r="O5" s="495"/>
      <c r="P5" s="495" t="s">
        <v>551</v>
      </c>
      <c r="Q5" s="495"/>
      <c r="R5" s="495"/>
      <c r="S5" s="495"/>
      <c r="T5" s="495"/>
      <c r="U5" s="495"/>
      <c r="V5" s="495"/>
      <c r="W5" s="495"/>
      <c r="X5" s="495"/>
      <c r="Y5" s="497" t="s">
        <v>552</v>
      </c>
    </row>
    <row r="6" spans="1:33" ht="20.25" customHeight="1" x14ac:dyDescent="0.25">
      <c r="A6" s="490"/>
      <c r="B6" s="492"/>
      <c r="C6" s="494"/>
      <c r="D6" s="496" t="s">
        <v>360</v>
      </c>
      <c r="E6" s="496"/>
      <c r="F6" s="496"/>
      <c r="G6" s="496" t="s">
        <v>553</v>
      </c>
      <c r="H6" s="496"/>
      <c r="I6" s="496" t="s">
        <v>554</v>
      </c>
      <c r="J6" s="496"/>
      <c r="K6" s="496" t="s">
        <v>555</v>
      </c>
      <c r="L6" s="496"/>
      <c r="M6" s="496" t="s">
        <v>556</v>
      </c>
      <c r="N6" s="496"/>
      <c r="O6" s="496" t="s">
        <v>557</v>
      </c>
      <c r="P6" s="496"/>
      <c r="Q6" s="496"/>
      <c r="R6" s="496"/>
      <c r="S6" s="496"/>
      <c r="T6" s="496"/>
      <c r="U6" s="496"/>
      <c r="V6" s="496"/>
      <c r="W6" s="496"/>
      <c r="X6" s="496"/>
      <c r="Y6" s="498"/>
    </row>
    <row r="7" spans="1:33" ht="39.6" x14ac:dyDescent="0.25">
      <c r="A7" s="490"/>
      <c r="B7" s="492"/>
      <c r="C7" s="494"/>
      <c r="D7" s="409" t="s">
        <v>558</v>
      </c>
      <c r="E7" s="409" t="s">
        <v>559</v>
      </c>
      <c r="F7" s="409" t="s">
        <v>151</v>
      </c>
      <c r="G7" s="409" t="s">
        <v>558</v>
      </c>
      <c r="H7" s="409" t="s">
        <v>559</v>
      </c>
      <c r="I7" s="409" t="s">
        <v>558</v>
      </c>
      <c r="J7" s="409" t="s">
        <v>559</v>
      </c>
      <c r="K7" s="409" t="s">
        <v>558</v>
      </c>
      <c r="L7" s="409" t="s">
        <v>559</v>
      </c>
      <c r="M7" s="409" t="s">
        <v>558</v>
      </c>
      <c r="N7" s="409" t="s">
        <v>559</v>
      </c>
      <c r="O7" s="496"/>
      <c r="P7" s="409" t="s">
        <v>560</v>
      </c>
      <c r="Q7" s="409" t="s">
        <v>561</v>
      </c>
      <c r="R7" s="409" t="s">
        <v>562</v>
      </c>
      <c r="S7" s="409" t="s">
        <v>563</v>
      </c>
      <c r="T7" s="409" t="s">
        <v>564</v>
      </c>
      <c r="U7" s="409" t="s">
        <v>565</v>
      </c>
      <c r="V7" s="409" t="s">
        <v>566</v>
      </c>
      <c r="W7" s="409" t="s">
        <v>567</v>
      </c>
      <c r="X7" s="409" t="s">
        <v>568</v>
      </c>
      <c r="Y7" s="498"/>
    </row>
    <row r="8" spans="1:33" s="411" customFormat="1" x14ac:dyDescent="0.25">
      <c r="A8" s="502" t="s">
        <v>569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4"/>
    </row>
    <row r="9" spans="1:33" s="412" customFormat="1" x14ac:dyDescent="0.25">
      <c r="A9" s="505" t="s">
        <v>570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  <c r="Y9" s="507"/>
    </row>
    <row r="10" spans="1:33" s="410" customFormat="1" ht="79.2" x14ac:dyDescent="0.25">
      <c r="A10" s="425" t="s">
        <v>571</v>
      </c>
      <c r="B10" s="418" t="s">
        <v>572</v>
      </c>
      <c r="C10" s="418" t="s">
        <v>573</v>
      </c>
      <c r="D10" s="419">
        <v>91382.3</v>
      </c>
      <c r="E10" s="419">
        <v>9516.9</v>
      </c>
      <c r="F10" s="419">
        <v>10.4</v>
      </c>
      <c r="G10" s="419">
        <v>81492.600000000006</v>
      </c>
      <c r="H10" s="419">
        <v>8149.2</v>
      </c>
      <c r="I10" s="419">
        <v>9889.7000000000007</v>
      </c>
      <c r="J10" s="419">
        <v>1367.7</v>
      </c>
      <c r="K10" s="419">
        <v>0</v>
      </c>
      <c r="L10" s="419">
        <v>0</v>
      </c>
      <c r="M10" s="419">
        <v>0</v>
      </c>
      <c r="N10" s="419">
        <v>0</v>
      </c>
      <c r="O10" s="419">
        <v>9516.9</v>
      </c>
      <c r="P10" s="418" t="s">
        <v>574</v>
      </c>
      <c r="Q10" s="414"/>
      <c r="R10" s="414"/>
      <c r="S10" s="420" t="s">
        <v>575</v>
      </c>
      <c r="T10" s="420" t="s">
        <v>576</v>
      </c>
      <c r="U10" s="420" t="s">
        <v>575</v>
      </c>
      <c r="V10" s="420" t="s">
        <v>577</v>
      </c>
      <c r="W10" s="414"/>
      <c r="X10" s="414"/>
      <c r="Y10" s="426" t="s">
        <v>1130</v>
      </c>
    </row>
    <row r="11" spans="1:33" s="412" customFormat="1" x14ac:dyDescent="0.25">
      <c r="A11" s="505" t="s">
        <v>578</v>
      </c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7"/>
    </row>
    <row r="12" spans="1:33" s="410" customFormat="1" ht="52.8" x14ac:dyDescent="0.25">
      <c r="A12" s="425" t="s">
        <v>579</v>
      </c>
      <c r="B12" s="418" t="s">
        <v>580</v>
      </c>
      <c r="C12" s="418" t="s">
        <v>573</v>
      </c>
      <c r="D12" s="419">
        <v>54045</v>
      </c>
      <c r="E12" s="419">
        <v>29434.9</v>
      </c>
      <c r="F12" s="419">
        <v>54.5</v>
      </c>
      <c r="G12" s="419">
        <v>0</v>
      </c>
      <c r="H12" s="419">
        <v>0</v>
      </c>
      <c r="I12" s="419">
        <v>54045</v>
      </c>
      <c r="J12" s="419">
        <v>29434.9</v>
      </c>
      <c r="K12" s="419">
        <v>0</v>
      </c>
      <c r="L12" s="419">
        <v>0</v>
      </c>
      <c r="M12" s="419">
        <v>0</v>
      </c>
      <c r="N12" s="419">
        <v>0</v>
      </c>
      <c r="O12" s="419">
        <v>29434.9</v>
      </c>
      <c r="P12" s="418" t="s">
        <v>581</v>
      </c>
      <c r="Q12" s="414" t="s">
        <v>582</v>
      </c>
      <c r="R12" s="414" t="s">
        <v>583</v>
      </c>
      <c r="S12" s="420" t="s">
        <v>582</v>
      </c>
      <c r="T12" s="420" t="s">
        <v>584</v>
      </c>
      <c r="U12" s="420" t="s">
        <v>582</v>
      </c>
      <c r="V12" s="420" t="s">
        <v>585</v>
      </c>
      <c r="W12" s="414"/>
      <c r="X12" s="414"/>
      <c r="Y12" s="427" t="s">
        <v>586</v>
      </c>
    </row>
    <row r="13" spans="1:33" s="412" customFormat="1" ht="15" hidden="1" customHeight="1" x14ac:dyDescent="0.25">
      <c r="A13" s="505" t="s">
        <v>587</v>
      </c>
      <c r="B13" s="506"/>
      <c r="C13" s="506"/>
      <c r="D13" s="506"/>
      <c r="E13" s="506"/>
      <c r="F13" s="506"/>
      <c r="G13" s="506"/>
      <c r="H13" s="506"/>
      <c r="I13" s="506"/>
      <c r="J13" s="506"/>
      <c r="K13" s="506"/>
      <c r="L13" s="506"/>
      <c r="M13" s="506"/>
      <c r="N13" s="506"/>
      <c r="O13" s="506"/>
      <c r="P13" s="506"/>
      <c r="Q13" s="506"/>
      <c r="R13" s="506"/>
      <c r="S13" s="506"/>
      <c r="T13" s="506"/>
      <c r="U13" s="506"/>
      <c r="V13" s="506"/>
      <c r="W13" s="506"/>
      <c r="X13" s="506"/>
      <c r="Y13" s="507"/>
    </row>
    <row r="14" spans="1:33" ht="52.8" hidden="1" x14ac:dyDescent="0.25">
      <c r="A14" s="428" t="s">
        <v>588</v>
      </c>
      <c r="B14" s="415" t="s">
        <v>589</v>
      </c>
      <c r="C14" s="415" t="s">
        <v>573</v>
      </c>
      <c r="D14" s="416">
        <v>81714.399999999994</v>
      </c>
      <c r="E14" s="416">
        <v>54724.3</v>
      </c>
      <c r="F14" s="416">
        <v>67</v>
      </c>
      <c r="G14" s="416">
        <v>3291.3</v>
      </c>
      <c r="H14" s="416">
        <v>1720.3</v>
      </c>
      <c r="I14" s="416">
        <v>78423.100000000006</v>
      </c>
      <c r="J14" s="416">
        <v>53004</v>
      </c>
      <c r="K14" s="416">
        <v>0</v>
      </c>
      <c r="L14" s="416">
        <v>0</v>
      </c>
      <c r="M14" s="416">
        <v>0</v>
      </c>
      <c r="N14" s="416">
        <v>0</v>
      </c>
      <c r="O14" s="416">
        <v>54724.3</v>
      </c>
      <c r="P14" s="415" t="s">
        <v>590</v>
      </c>
      <c r="Q14" s="414" t="s">
        <v>591</v>
      </c>
      <c r="R14" s="414" t="s">
        <v>592</v>
      </c>
      <c r="S14" s="414" t="s">
        <v>593</v>
      </c>
      <c r="T14" s="414" t="s">
        <v>594</v>
      </c>
      <c r="U14" s="414" t="s">
        <v>595</v>
      </c>
      <c r="V14" s="414" t="s">
        <v>596</v>
      </c>
      <c r="W14" s="414"/>
      <c r="X14" s="414"/>
      <c r="Y14" s="429" t="s">
        <v>597</v>
      </c>
    </row>
    <row r="15" spans="1:33" x14ac:dyDescent="0.25">
      <c r="A15" s="499" t="s">
        <v>598</v>
      </c>
      <c r="B15" s="500"/>
      <c r="C15" s="500"/>
      <c r="D15" s="500"/>
      <c r="E15" s="500"/>
      <c r="F15" s="500"/>
      <c r="G15" s="500"/>
      <c r="H15" s="500"/>
      <c r="I15" s="500"/>
      <c r="J15" s="500"/>
      <c r="K15" s="500"/>
      <c r="L15" s="500"/>
      <c r="M15" s="500"/>
      <c r="N15" s="500"/>
      <c r="O15" s="500"/>
      <c r="P15" s="500"/>
      <c r="Q15" s="500"/>
      <c r="R15" s="500"/>
      <c r="S15" s="500"/>
      <c r="T15" s="500"/>
      <c r="U15" s="500"/>
      <c r="V15" s="500"/>
      <c r="W15" s="500"/>
      <c r="X15" s="500"/>
      <c r="Y15" s="501"/>
    </row>
    <row r="16" spans="1:33" x14ac:dyDescent="0.25">
      <c r="A16" s="505" t="s">
        <v>599</v>
      </c>
      <c r="B16" s="508"/>
      <c r="C16" s="508"/>
      <c r="D16" s="508"/>
      <c r="E16" s="508"/>
      <c r="F16" s="508"/>
      <c r="G16" s="508"/>
      <c r="H16" s="508"/>
      <c r="I16" s="508"/>
      <c r="J16" s="508"/>
      <c r="K16" s="508"/>
      <c r="L16" s="508"/>
      <c r="M16" s="508"/>
      <c r="N16" s="508"/>
      <c r="O16" s="508"/>
      <c r="P16" s="508"/>
      <c r="Q16" s="508"/>
      <c r="R16" s="508"/>
      <c r="S16" s="508"/>
      <c r="T16" s="508"/>
      <c r="U16" s="508"/>
      <c r="V16" s="508"/>
      <c r="W16" s="508"/>
      <c r="X16" s="508"/>
      <c r="Y16" s="509"/>
    </row>
    <row r="17" spans="1:25" ht="79.2" x14ac:dyDescent="0.25">
      <c r="A17" s="425" t="s">
        <v>600</v>
      </c>
      <c r="B17" s="418" t="s">
        <v>601</v>
      </c>
      <c r="C17" s="418" t="s">
        <v>602</v>
      </c>
      <c r="D17" s="419">
        <v>800</v>
      </c>
      <c r="E17" s="419">
        <v>317</v>
      </c>
      <c r="F17" s="419">
        <v>39.6</v>
      </c>
      <c r="G17" s="419">
        <v>0</v>
      </c>
      <c r="H17" s="419">
        <v>0</v>
      </c>
      <c r="I17" s="419">
        <v>800</v>
      </c>
      <c r="J17" s="419">
        <v>317</v>
      </c>
      <c r="K17" s="419">
        <v>0</v>
      </c>
      <c r="L17" s="419">
        <v>0</v>
      </c>
      <c r="M17" s="419">
        <v>0</v>
      </c>
      <c r="N17" s="419">
        <v>0</v>
      </c>
      <c r="O17" s="419">
        <v>317</v>
      </c>
      <c r="P17" s="418" t="s">
        <v>603</v>
      </c>
      <c r="Q17" s="413"/>
      <c r="R17" s="413"/>
      <c r="S17" s="417" t="s">
        <v>204</v>
      </c>
      <c r="T17" s="417" t="s">
        <v>576</v>
      </c>
      <c r="U17" s="417" t="s">
        <v>604</v>
      </c>
      <c r="V17" s="417" t="s">
        <v>605</v>
      </c>
      <c r="W17" s="413"/>
      <c r="X17" s="413"/>
      <c r="Y17" s="426" t="s">
        <v>606</v>
      </c>
    </row>
    <row r="18" spans="1:25" ht="158.4" x14ac:dyDescent="0.25">
      <c r="A18" s="425" t="s">
        <v>607</v>
      </c>
      <c r="B18" s="418" t="s">
        <v>608</v>
      </c>
      <c r="C18" s="418" t="s">
        <v>602</v>
      </c>
      <c r="D18" s="419">
        <v>171578.9</v>
      </c>
      <c r="E18" s="419">
        <v>151888.5</v>
      </c>
      <c r="F18" s="419">
        <v>88.5</v>
      </c>
      <c r="G18" s="419">
        <v>87885.2</v>
      </c>
      <c r="H18" s="419">
        <v>79088.2</v>
      </c>
      <c r="I18" s="419">
        <v>83693.7</v>
      </c>
      <c r="J18" s="419">
        <v>72800.3</v>
      </c>
      <c r="K18" s="419">
        <v>0</v>
      </c>
      <c r="L18" s="419">
        <v>0</v>
      </c>
      <c r="M18" s="419">
        <v>0</v>
      </c>
      <c r="N18" s="419">
        <v>0</v>
      </c>
      <c r="O18" s="419">
        <v>151888.70000000001</v>
      </c>
      <c r="P18" s="418" t="s">
        <v>609</v>
      </c>
      <c r="Q18" s="413" t="s">
        <v>16</v>
      </c>
      <c r="R18" s="413" t="s">
        <v>213</v>
      </c>
      <c r="S18" s="417" t="s">
        <v>593</v>
      </c>
      <c r="T18" s="417" t="s">
        <v>594</v>
      </c>
      <c r="U18" s="417" t="s">
        <v>610</v>
      </c>
      <c r="V18" s="417" t="s">
        <v>611</v>
      </c>
      <c r="W18" s="413"/>
      <c r="X18" s="413"/>
      <c r="Y18" s="427" t="s">
        <v>612</v>
      </c>
    </row>
    <row r="19" spans="1:25" hidden="1" x14ac:dyDescent="0.25">
      <c r="A19" s="510" t="s">
        <v>613</v>
      </c>
      <c r="B19" s="511"/>
      <c r="C19" s="511"/>
      <c r="D19" s="511"/>
      <c r="E19" s="511"/>
      <c r="F19" s="511"/>
      <c r="G19" s="511"/>
      <c r="H19" s="511"/>
      <c r="I19" s="511"/>
      <c r="J19" s="511"/>
      <c r="K19" s="511"/>
      <c r="L19" s="511"/>
      <c r="M19" s="511"/>
      <c r="N19" s="511"/>
      <c r="O19" s="511"/>
      <c r="P19" s="511"/>
      <c r="Q19" s="511"/>
      <c r="R19" s="511"/>
      <c r="S19" s="511"/>
      <c r="T19" s="511"/>
      <c r="U19" s="511"/>
      <c r="V19" s="511"/>
      <c r="W19" s="511"/>
      <c r="X19" s="511"/>
      <c r="Y19" s="512"/>
    </row>
    <row r="20" spans="1:25" ht="52.8" hidden="1" x14ac:dyDescent="0.25">
      <c r="A20" s="428" t="s">
        <v>600</v>
      </c>
      <c r="B20" s="415" t="s">
        <v>614</v>
      </c>
      <c r="C20" s="415" t="s">
        <v>602</v>
      </c>
      <c r="D20" s="416">
        <v>58074.400000000001</v>
      </c>
      <c r="E20" s="416">
        <v>39597.5</v>
      </c>
      <c r="F20" s="416">
        <v>68.2</v>
      </c>
      <c r="G20" s="416">
        <v>8669.7999999999993</v>
      </c>
      <c r="H20" s="416">
        <v>4721.3</v>
      </c>
      <c r="I20" s="416">
        <v>49404.6</v>
      </c>
      <c r="J20" s="416">
        <v>34876.199999999997</v>
      </c>
      <c r="K20" s="416">
        <v>0</v>
      </c>
      <c r="L20" s="416">
        <v>0</v>
      </c>
      <c r="M20" s="416">
        <v>0</v>
      </c>
      <c r="N20" s="416">
        <v>0</v>
      </c>
      <c r="O20" s="416">
        <v>39597.4</v>
      </c>
      <c r="P20" s="415" t="s">
        <v>615</v>
      </c>
      <c r="Q20" s="413" t="s">
        <v>605</v>
      </c>
      <c r="R20" s="413" t="s">
        <v>616</v>
      </c>
      <c r="S20" s="413" t="s">
        <v>593</v>
      </c>
      <c r="T20" s="413" t="s">
        <v>617</v>
      </c>
      <c r="U20" s="413" t="s">
        <v>595</v>
      </c>
      <c r="V20" s="413" t="s">
        <v>618</v>
      </c>
      <c r="W20" s="413"/>
      <c r="X20" s="413"/>
      <c r="Y20" s="429" t="s">
        <v>619</v>
      </c>
    </row>
    <row r="21" spans="1:25" x14ac:dyDescent="0.25">
      <c r="A21" s="505" t="s">
        <v>1156</v>
      </c>
      <c r="B21" s="508"/>
      <c r="C21" s="508"/>
      <c r="D21" s="508"/>
      <c r="E21" s="508"/>
      <c r="F21" s="508"/>
      <c r="G21" s="508"/>
      <c r="H21" s="508"/>
      <c r="I21" s="508"/>
      <c r="J21" s="508"/>
      <c r="K21" s="508"/>
      <c r="L21" s="508"/>
      <c r="M21" s="508"/>
      <c r="N21" s="508"/>
      <c r="O21" s="508"/>
      <c r="P21" s="508"/>
      <c r="Q21" s="508"/>
      <c r="R21" s="508"/>
      <c r="S21" s="508"/>
      <c r="T21" s="508"/>
      <c r="U21" s="508"/>
      <c r="V21" s="508"/>
      <c r="W21" s="508"/>
      <c r="X21" s="508"/>
      <c r="Y21" s="509"/>
    </row>
    <row r="22" spans="1:25" ht="46.5" customHeight="1" x14ac:dyDescent="0.25">
      <c r="A22" s="425" t="s">
        <v>620</v>
      </c>
      <c r="B22" s="418" t="s">
        <v>621</v>
      </c>
      <c r="C22" s="418" t="s">
        <v>622</v>
      </c>
      <c r="D22" s="419">
        <v>153659.79999999999</v>
      </c>
      <c r="E22" s="419">
        <v>146737.60000000001</v>
      </c>
      <c r="F22" s="419">
        <v>95.5</v>
      </c>
      <c r="G22" s="419">
        <v>0</v>
      </c>
      <c r="H22" s="419">
        <v>0</v>
      </c>
      <c r="I22" s="419">
        <v>152159.79999999999</v>
      </c>
      <c r="J22" s="419">
        <v>145237.6</v>
      </c>
      <c r="K22" s="419">
        <v>1500</v>
      </c>
      <c r="L22" s="419">
        <v>1500</v>
      </c>
      <c r="M22" s="419">
        <v>0</v>
      </c>
      <c r="N22" s="419">
        <v>0</v>
      </c>
      <c r="O22" s="419">
        <v>146737.60000000001</v>
      </c>
      <c r="P22" s="418" t="s">
        <v>623</v>
      </c>
      <c r="Q22" s="417"/>
      <c r="R22" s="417"/>
      <c r="S22" s="417"/>
      <c r="T22" s="417"/>
      <c r="U22" s="421" t="s">
        <v>624</v>
      </c>
      <c r="V22" s="417" t="s">
        <v>625</v>
      </c>
      <c r="W22" s="417"/>
      <c r="X22" s="417"/>
      <c r="Y22" s="427" t="s">
        <v>626</v>
      </c>
    </row>
    <row r="23" spans="1:25" x14ac:dyDescent="0.25">
      <c r="A23" s="499" t="s">
        <v>627</v>
      </c>
      <c r="B23" s="500"/>
      <c r="C23" s="500"/>
      <c r="D23" s="500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  <c r="T23" s="500"/>
      <c r="U23" s="500"/>
      <c r="V23" s="500"/>
      <c r="W23" s="500"/>
      <c r="X23" s="500"/>
      <c r="Y23" s="501"/>
    </row>
    <row r="24" spans="1:25" x14ac:dyDescent="0.25">
      <c r="A24" s="513" t="s">
        <v>628</v>
      </c>
      <c r="B24" s="508"/>
      <c r="C24" s="508"/>
      <c r="D24" s="508"/>
      <c r="E24" s="508"/>
      <c r="F24" s="508"/>
      <c r="G24" s="508"/>
      <c r="H24" s="508"/>
      <c r="I24" s="508"/>
      <c r="J24" s="508"/>
      <c r="K24" s="508"/>
      <c r="L24" s="508"/>
      <c r="M24" s="508"/>
      <c r="N24" s="508"/>
      <c r="O24" s="508"/>
      <c r="P24" s="508"/>
      <c r="Q24" s="508"/>
      <c r="R24" s="508"/>
      <c r="S24" s="508"/>
      <c r="T24" s="508"/>
      <c r="U24" s="508"/>
      <c r="V24" s="508"/>
      <c r="W24" s="508"/>
      <c r="X24" s="508"/>
      <c r="Y24" s="509"/>
    </row>
    <row r="25" spans="1:25" ht="118.8" x14ac:dyDescent="0.25">
      <c r="A25" s="425" t="s">
        <v>629</v>
      </c>
      <c r="B25" s="418" t="s">
        <v>630</v>
      </c>
      <c r="C25" s="418" t="s">
        <v>631</v>
      </c>
      <c r="D25" s="419">
        <v>232.5</v>
      </c>
      <c r="E25" s="419">
        <v>0</v>
      </c>
      <c r="F25" s="419">
        <v>0</v>
      </c>
      <c r="G25" s="419">
        <v>207.5</v>
      </c>
      <c r="H25" s="419">
        <v>0</v>
      </c>
      <c r="I25" s="419">
        <v>25</v>
      </c>
      <c r="J25" s="419">
        <v>0</v>
      </c>
      <c r="K25" s="419">
        <v>0</v>
      </c>
      <c r="L25" s="419">
        <v>0</v>
      </c>
      <c r="M25" s="419">
        <v>0</v>
      </c>
      <c r="N25" s="419">
        <v>0</v>
      </c>
      <c r="O25" s="419">
        <v>0</v>
      </c>
      <c r="P25" s="418" t="s">
        <v>632</v>
      </c>
      <c r="Q25" s="417" t="s">
        <v>15</v>
      </c>
      <c r="R25" s="417" t="s">
        <v>576</v>
      </c>
      <c r="S25" s="417" t="s">
        <v>201</v>
      </c>
      <c r="T25" s="417" t="s">
        <v>576</v>
      </c>
      <c r="U25" s="417" t="s">
        <v>203</v>
      </c>
      <c r="V25" s="417" t="s">
        <v>576</v>
      </c>
      <c r="W25" s="417"/>
      <c r="X25" s="417"/>
      <c r="Y25" s="427" t="s">
        <v>633</v>
      </c>
    </row>
    <row r="26" spans="1:25" x14ac:dyDescent="0.25">
      <c r="A26" s="513" t="s">
        <v>634</v>
      </c>
      <c r="B26" s="508"/>
      <c r="C26" s="508"/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508"/>
      <c r="O26" s="508"/>
      <c r="P26" s="508"/>
      <c r="Q26" s="508"/>
      <c r="R26" s="508"/>
      <c r="S26" s="508"/>
      <c r="T26" s="508"/>
      <c r="U26" s="508"/>
      <c r="V26" s="508"/>
      <c r="W26" s="508"/>
      <c r="X26" s="508"/>
      <c r="Y26" s="509"/>
    </row>
    <row r="27" spans="1:25" ht="49.5" customHeight="1" x14ac:dyDescent="0.25">
      <c r="A27" s="425" t="s">
        <v>635</v>
      </c>
      <c r="B27" s="418" t="s">
        <v>636</v>
      </c>
      <c r="C27" s="418" t="s">
        <v>631</v>
      </c>
      <c r="D27" s="419">
        <v>11825</v>
      </c>
      <c r="E27" s="419">
        <v>7089.5140000000001</v>
      </c>
      <c r="F27" s="419">
        <v>60</v>
      </c>
      <c r="G27" s="419">
        <v>0</v>
      </c>
      <c r="H27" s="419">
        <v>0</v>
      </c>
      <c r="I27" s="419">
        <v>11825</v>
      </c>
      <c r="J27" s="419">
        <v>7089.5140000000001</v>
      </c>
      <c r="K27" s="419">
        <v>0</v>
      </c>
      <c r="L27" s="419">
        <v>0</v>
      </c>
      <c r="M27" s="419">
        <v>0</v>
      </c>
      <c r="N27" s="419">
        <v>0</v>
      </c>
      <c r="O27" s="419">
        <v>7089.5140000000001</v>
      </c>
      <c r="P27" s="418" t="s">
        <v>637</v>
      </c>
      <c r="Q27" s="417" t="s">
        <v>638</v>
      </c>
      <c r="R27" s="417" t="s">
        <v>639</v>
      </c>
      <c r="S27" s="417" t="s">
        <v>640</v>
      </c>
      <c r="T27" s="417" t="s">
        <v>641</v>
      </c>
      <c r="U27" s="417" t="s">
        <v>642</v>
      </c>
      <c r="V27" s="417" t="s">
        <v>643</v>
      </c>
      <c r="W27" s="417"/>
      <c r="X27" s="417"/>
      <c r="Y27" s="514" t="s">
        <v>633</v>
      </c>
    </row>
    <row r="28" spans="1:25" ht="66" x14ac:dyDescent="0.25">
      <c r="A28" s="425" t="s">
        <v>644</v>
      </c>
      <c r="B28" s="418" t="s">
        <v>645</v>
      </c>
      <c r="C28" s="418" t="s">
        <v>631</v>
      </c>
      <c r="D28" s="419">
        <v>36226.1</v>
      </c>
      <c r="E28" s="419">
        <v>13153.103999999999</v>
      </c>
      <c r="F28" s="419">
        <v>36.299999999999997</v>
      </c>
      <c r="G28" s="419">
        <v>36226.1</v>
      </c>
      <c r="H28" s="419">
        <v>13153.103999999999</v>
      </c>
      <c r="I28" s="419">
        <v>0</v>
      </c>
      <c r="J28" s="419">
        <v>0</v>
      </c>
      <c r="K28" s="419">
        <v>0</v>
      </c>
      <c r="L28" s="419">
        <v>0</v>
      </c>
      <c r="M28" s="419">
        <v>0</v>
      </c>
      <c r="N28" s="419">
        <v>0</v>
      </c>
      <c r="O28" s="419">
        <v>13153.103999999999</v>
      </c>
      <c r="P28" s="418" t="s">
        <v>637</v>
      </c>
      <c r="Q28" s="417"/>
      <c r="R28" s="417"/>
      <c r="S28" s="417" t="s">
        <v>18</v>
      </c>
      <c r="T28" s="417" t="s">
        <v>18</v>
      </c>
      <c r="U28" s="417" t="s">
        <v>605</v>
      </c>
      <c r="V28" s="417" t="s">
        <v>216</v>
      </c>
      <c r="W28" s="417"/>
      <c r="X28" s="417"/>
      <c r="Y28" s="514"/>
    </row>
    <row r="29" spans="1:25" x14ac:dyDescent="0.25">
      <c r="A29" s="513" t="s">
        <v>646</v>
      </c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508"/>
      <c r="P29" s="508"/>
      <c r="Q29" s="508"/>
      <c r="R29" s="508"/>
      <c r="S29" s="508"/>
      <c r="T29" s="508"/>
      <c r="U29" s="508"/>
      <c r="V29" s="508"/>
      <c r="W29" s="508"/>
      <c r="X29" s="508"/>
      <c r="Y29" s="509"/>
    </row>
    <row r="30" spans="1:25" ht="52.8" x14ac:dyDescent="0.25">
      <c r="A30" s="425" t="s">
        <v>647</v>
      </c>
      <c r="B30" s="418" t="s">
        <v>648</v>
      </c>
      <c r="C30" s="418" t="s">
        <v>649</v>
      </c>
      <c r="D30" s="419">
        <v>0</v>
      </c>
      <c r="E30" s="419">
        <v>0</v>
      </c>
      <c r="F30" s="419">
        <v>0</v>
      </c>
      <c r="G30" s="419">
        <v>0</v>
      </c>
      <c r="H30" s="419">
        <v>0</v>
      </c>
      <c r="I30" s="419">
        <v>0</v>
      </c>
      <c r="J30" s="419">
        <v>0</v>
      </c>
      <c r="K30" s="419">
        <v>0</v>
      </c>
      <c r="L30" s="419">
        <v>0</v>
      </c>
      <c r="M30" s="419">
        <v>0</v>
      </c>
      <c r="N30" s="419">
        <v>0</v>
      </c>
      <c r="O30" s="419">
        <v>0</v>
      </c>
      <c r="P30" s="418" t="s">
        <v>650</v>
      </c>
      <c r="Q30" s="417" t="s">
        <v>651</v>
      </c>
      <c r="R30" s="417" t="s">
        <v>652</v>
      </c>
      <c r="S30" s="417" t="s">
        <v>653</v>
      </c>
      <c r="T30" s="417" t="s">
        <v>654</v>
      </c>
      <c r="U30" s="417" t="s">
        <v>655</v>
      </c>
      <c r="V30" s="417" t="s">
        <v>656</v>
      </c>
      <c r="W30" s="417"/>
      <c r="X30" s="417"/>
      <c r="Y30" s="514" t="s">
        <v>657</v>
      </c>
    </row>
    <row r="31" spans="1:25" ht="52.8" x14ac:dyDescent="0.25">
      <c r="A31" s="425" t="s">
        <v>658</v>
      </c>
      <c r="B31" s="418" t="s">
        <v>659</v>
      </c>
      <c r="C31" s="418" t="s">
        <v>649</v>
      </c>
      <c r="D31" s="419">
        <v>0</v>
      </c>
      <c r="E31" s="419">
        <v>0</v>
      </c>
      <c r="F31" s="419">
        <v>0</v>
      </c>
      <c r="G31" s="419">
        <v>0</v>
      </c>
      <c r="H31" s="419">
        <v>0</v>
      </c>
      <c r="I31" s="419">
        <v>0</v>
      </c>
      <c r="J31" s="419">
        <v>0</v>
      </c>
      <c r="K31" s="419">
        <v>0</v>
      </c>
      <c r="L31" s="419">
        <v>0</v>
      </c>
      <c r="M31" s="419">
        <v>0</v>
      </c>
      <c r="N31" s="419">
        <v>0</v>
      </c>
      <c r="O31" s="419">
        <v>0</v>
      </c>
      <c r="P31" s="418" t="s">
        <v>650</v>
      </c>
      <c r="Q31" s="417" t="s">
        <v>660</v>
      </c>
      <c r="R31" s="417" t="s">
        <v>661</v>
      </c>
      <c r="S31" s="417" t="s">
        <v>662</v>
      </c>
      <c r="T31" s="417" t="s">
        <v>663</v>
      </c>
      <c r="U31" s="417" t="s">
        <v>664</v>
      </c>
      <c r="V31" s="417" t="s">
        <v>663</v>
      </c>
      <c r="W31" s="417"/>
      <c r="X31" s="417"/>
      <c r="Y31" s="514"/>
    </row>
    <row r="32" spans="1:25" ht="16.2" customHeight="1" x14ac:dyDescent="0.25">
      <c r="A32" s="425" t="s">
        <v>665</v>
      </c>
      <c r="B32" s="418" t="s">
        <v>666</v>
      </c>
      <c r="C32" s="418" t="s">
        <v>631</v>
      </c>
      <c r="D32" s="419">
        <v>227983.5</v>
      </c>
      <c r="E32" s="419">
        <v>166844.79999999999</v>
      </c>
      <c r="F32" s="419">
        <v>73.2</v>
      </c>
      <c r="G32" s="419">
        <v>0</v>
      </c>
      <c r="H32" s="419">
        <v>0</v>
      </c>
      <c r="I32" s="419">
        <v>187061.5</v>
      </c>
      <c r="J32" s="419">
        <v>143177</v>
      </c>
      <c r="K32" s="419">
        <v>40922</v>
      </c>
      <c r="L32" s="419">
        <v>23667.8</v>
      </c>
      <c r="M32" s="419">
        <v>0</v>
      </c>
      <c r="N32" s="419">
        <v>0</v>
      </c>
      <c r="O32" s="419">
        <v>166844.9</v>
      </c>
      <c r="P32" s="418" t="s">
        <v>650</v>
      </c>
      <c r="Q32" s="417" t="s">
        <v>667</v>
      </c>
      <c r="R32" s="417" t="s">
        <v>668</v>
      </c>
      <c r="S32" s="417" t="s">
        <v>669</v>
      </c>
      <c r="T32" s="417" t="s">
        <v>670</v>
      </c>
      <c r="U32" s="417" t="s">
        <v>671</v>
      </c>
      <c r="V32" s="417" t="s">
        <v>672</v>
      </c>
      <c r="W32" s="417"/>
      <c r="X32" s="417"/>
      <c r="Y32" s="514"/>
    </row>
    <row r="33" spans="1:25" ht="65.25" customHeight="1" x14ac:dyDescent="0.25">
      <c r="A33" s="425" t="s">
        <v>673</v>
      </c>
      <c r="B33" s="418" t="s">
        <v>674</v>
      </c>
      <c r="C33" s="418" t="s">
        <v>602</v>
      </c>
      <c r="D33" s="419">
        <v>1000</v>
      </c>
      <c r="E33" s="419">
        <v>328.5</v>
      </c>
      <c r="F33" s="419">
        <v>32.9</v>
      </c>
      <c r="G33" s="419">
        <v>0</v>
      </c>
      <c r="H33" s="419">
        <v>0</v>
      </c>
      <c r="I33" s="419">
        <v>1000</v>
      </c>
      <c r="J33" s="419">
        <v>328.5</v>
      </c>
      <c r="K33" s="419">
        <v>0</v>
      </c>
      <c r="L33" s="419">
        <v>0</v>
      </c>
      <c r="M33" s="419">
        <v>0</v>
      </c>
      <c r="N33" s="419">
        <v>0</v>
      </c>
      <c r="O33" s="419">
        <v>328.5</v>
      </c>
      <c r="P33" s="418" t="s">
        <v>675</v>
      </c>
      <c r="Q33" s="417"/>
      <c r="R33" s="417"/>
      <c r="S33" s="417" t="s">
        <v>593</v>
      </c>
      <c r="T33" s="417" t="s">
        <v>593</v>
      </c>
      <c r="U33" s="417" t="s">
        <v>676</v>
      </c>
      <c r="V33" s="417" t="s">
        <v>215</v>
      </c>
      <c r="W33" s="417"/>
      <c r="X33" s="417"/>
      <c r="Y33" s="514"/>
    </row>
    <row r="34" spans="1:25" x14ac:dyDescent="0.25">
      <c r="A34" s="513" t="s">
        <v>677</v>
      </c>
      <c r="B34" s="508"/>
      <c r="C34" s="508"/>
      <c r="D34" s="508"/>
      <c r="E34" s="508"/>
      <c r="F34" s="508"/>
      <c r="G34" s="508"/>
      <c r="H34" s="508"/>
      <c r="I34" s="508"/>
      <c r="J34" s="508"/>
      <c r="K34" s="508"/>
      <c r="L34" s="508"/>
      <c r="M34" s="508"/>
      <c r="N34" s="508"/>
      <c r="O34" s="508"/>
      <c r="P34" s="508"/>
      <c r="Q34" s="508"/>
      <c r="R34" s="508"/>
      <c r="S34" s="508"/>
      <c r="T34" s="508"/>
      <c r="U34" s="508"/>
      <c r="V34" s="508"/>
      <c r="W34" s="508"/>
      <c r="X34" s="508"/>
      <c r="Y34" s="509"/>
    </row>
    <row r="35" spans="1:25" ht="66" customHeight="1" x14ac:dyDescent="0.25">
      <c r="A35" s="425" t="s">
        <v>678</v>
      </c>
      <c r="B35" s="418" t="s">
        <v>679</v>
      </c>
      <c r="C35" s="418" t="s">
        <v>631</v>
      </c>
      <c r="D35" s="419">
        <v>6661</v>
      </c>
      <c r="E35" s="419">
        <v>4995</v>
      </c>
      <c r="F35" s="419">
        <v>75</v>
      </c>
      <c r="G35" s="419">
        <v>0</v>
      </c>
      <c r="H35" s="419">
        <v>0</v>
      </c>
      <c r="I35" s="419">
        <v>6661</v>
      </c>
      <c r="J35" s="419">
        <v>4995</v>
      </c>
      <c r="K35" s="419">
        <v>0</v>
      </c>
      <c r="L35" s="419">
        <v>0</v>
      </c>
      <c r="M35" s="419">
        <v>0</v>
      </c>
      <c r="N35" s="419">
        <v>0</v>
      </c>
      <c r="O35" s="419">
        <v>3833.5</v>
      </c>
      <c r="P35" s="418" t="s">
        <v>680</v>
      </c>
      <c r="Q35" s="417" t="s">
        <v>681</v>
      </c>
      <c r="R35" s="417" t="s">
        <v>682</v>
      </c>
      <c r="S35" s="417" t="s">
        <v>681</v>
      </c>
      <c r="T35" s="417" t="s">
        <v>683</v>
      </c>
      <c r="U35" s="417" t="s">
        <v>681</v>
      </c>
      <c r="V35" s="417" t="s">
        <v>684</v>
      </c>
      <c r="W35" s="417"/>
      <c r="X35" s="417"/>
      <c r="Y35" s="514" t="s">
        <v>685</v>
      </c>
    </row>
    <row r="36" spans="1:25" ht="92.4" x14ac:dyDescent="0.25">
      <c r="A36" s="425" t="s">
        <v>686</v>
      </c>
      <c r="B36" s="438" t="s">
        <v>696</v>
      </c>
      <c r="C36" s="418" t="s">
        <v>631</v>
      </c>
      <c r="D36" s="419">
        <v>8000</v>
      </c>
      <c r="E36" s="419">
        <v>2382.4</v>
      </c>
      <c r="F36" s="419">
        <v>29.8</v>
      </c>
      <c r="G36" s="419">
        <v>0</v>
      </c>
      <c r="H36" s="419">
        <v>0</v>
      </c>
      <c r="I36" s="419">
        <v>8000</v>
      </c>
      <c r="J36" s="419">
        <v>2382.4</v>
      </c>
      <c r="K36" s="419">
        <v>0</v>
      </c>
      <c r="L36" s="419">
        <v>0</v>
      </c>
      <c r="M36" s="419">
        <v>0</v>
      </c>
      <c r="N36" s="419">
        <v>0</v>
      </c>
      <c r="O36" s="419">
        <v>2382.4</v>
      </c>
      <c r="P36" s="418" t="s">
        <v>687</v>
      </c>
      <c r="Q36" s="417" t="s">
        <v>688</v>
      </c>
      <c r="R36" s="417" t="s">
        <v>689</v>
      </c>
      <c r="S36" s="417" t="s">
        <v>667</v>
      </c>
      <c r="T36" s="417" t="s">
        <v>690</v>
      </c>
      <c r="U36" s="417" t="s">
        <v>667</v>
      </c>
      <c r="V36" s="417" t="s">
        <v>691</v>
      </c>
      <c r="W36" s="417"/>
      <c r="X36" s="417"/>
      <c r="Y36" s="514"/>
    </row>
    <row r="37" spans="1:25" ht="92.4" x14ac:dyDescent="0.25">
      <c r="A37" s="425" t="s">
        <v>686</v>
      </c>
      <c r="B37" s="438" t="s">
        <v>696</v>
      </c>
      <c r="C37" s="418"/>
      <c r="D37" s="419">
        <v>0</v>
      </c>
      <c r="E37" s="419">
        <v>0</v>
      </c>
      <c r="F37" s="419">
        <v>0</v>
      </c>
      <c r="G37" s="419">
        <v>0</v>
      </c>
      <c r="H37" s="419">
        <v>0</v>
      </c>
      <c r="I37" s="419">
        <v>0</v>
      </c>
      <c r="J37" s="419">
        <v>0</v>
      </c>
      <c r="K37" s="419">
        <v>0</v>
      </c>
      <c r="L37" s="419">
        <v>0</v>
      </c>
      <c r="M37" s="419">
        <v>0</v>
      </c>
      <c r="N37" s="419">
        <v>0</v>
      </c>
      <c r="O37" s="419">
        <v>0</v>
      </c>
      <c r="P37" s="418" t="s">
        <v>692</v>
      </c>
      <c r="Q37" s="417" t="s">
        <v>693</v>
      </c>
      <c r="R37" s="417" t="s">
        <v>694</v>
      </c>
      <c r="S37" s="417" t="s">
        <v>638</v>
      </c>
      <c r="T37" s="417" t="s">
        <v>695</v>
      </c>
      <c r="U37" s="417" t="s">
        <v>638</v>
      </c>
      <c r="V37" s="417" t="s">
        <v>688</v>
      </c>
      <c r="W37" s="417"/>
      <c r="X37" s="417"/>
      <c r="Y37" s="514"/>
    </row>
    <row r="38" spans="1:25" ht="92.4" x14ac:dyDescent="0.25">
      <c r="A38" s="425" t="s">
        <v>686</v>
      </c>
      <c r="B38" s="418" t="s">
        <v>696</v>
      </c>
      <c r="C38" s="418"/>
      <c r="D38" s="419">
        <v>0</v>
      </c>
      <c r="E38" s="419">
        <v>0</v>
      </c>
      <c r="F38" s="419">
        <v>0</v>
      </c>
      <c r="G38" s="419">
        <v>0</v>
      </c>
      <c r="H38" s="419">
        <v>0</v>
      </c>
      <c r="I38" s="419">
        <v>0</v>
      </c>
      <c r="J38" s="419">
        <v>0</v>
      </c>
      <c r="K38" s="419">
        <v>0</v>
      </c>
      <c r="L38" s="419">
        <v>0</v>
      </c>
      <c r="M38" s="419">
        <v>0</v>
      </c>
      <c r="N38" s="419">
        <v>0</v>
      </c>
      <c r="O38" s="419">
        <v>0</v>
      </c>
      <c r="P38" s="418" t="s">
        <v>697</v>
      </c>
      <c r="Q38" s="417" t="s">
        <v>698</v>
      </c>
      <c r="R38" s="417" t="s">
        <v>699</v>
      </c>
      <c r="S38" s="417" t="s">
        <v>676</v>
      </c>
      <c r="T38" s="417" t="s">
        <v>700</v>
      </c>
      <c r="U38" s="417" t="s">
        <v>676</v>
      </c>
      <c r="V38" s="417" t="s">
        <v>595</v>
      </c>
      <c r="W38" s="417"/>
      <c r="X38" s="417"/>
      <c r="Y38" s="514"/>
    </row>
    <row r="39" spans="1:25" x14ac:dyDescent="0.25">
      <c r="A39" s="513" t="s">
        <v>701</v>
      </c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  <c r="O39" s="508"/>
      <c r="P39" s="508"/>
      <c r="Q39" s="508"/>
      <c r="R39" s="508"/>
      <c r="S39" s="508"/>
      <c r="T39" s="508"/>
      <c r="U39" s="508"/>
      <c r="V39" s="508"/>
      <c r="W39" s="508"/>
      <c r="X39" s="508"/>
      <c r="Y39" s="509"/>
    </row>
    <row r="40" spans="1:25" ht="93.75" customHeight="1" x14ac:dyDescent="0.25">
      <c r="A40" s="425" t="s">
        <v>702</v>
      </c>
      <c r="B40" s="418" t="s">
        <v>703</v>
      </c>
      <c r="C40" s="418" t="s">
        <v>631</v>
      </c>
      <c r="D40" s="419">
        <v>250</v>
      </c>
      <c r="E40" s="419">
        <v>50</v>
      </c>
      <c r="F40" s="419">
        <v>20</v>
      </c>
      <c r="G40" s="419">
        <v>93.3</v>
      </c>
      <c r="H40" s="419">
        <v>18.66</v>
      </c>
      <c r="I40" s="419">
        <v>156.69999999999999</v>
      </c>
      <c r="J40" s="419">
        <v>31.34</v>
      </c>
      <c r="K40" s="419">
        <v>0</v>
      </c>
      <c r="L40" s="419">
        <v>0</v>
      </c>
      <c r="M40" s="419">
        <v>0</v>
      </c>
      <c r="N40" s="419">
        <v>0</v>
      </c>
      <c r="O40" s="419">
        <v>50</v>
      </c>
      <c r="P40" s="418" t="s">
        <v>704</v>
      </c>
      <c r="Q40" s="417"/>
      <c r="R40" s="417"/>
      <c r="S40" s="417"/>
      <c r="T40" s="417" t="s">
        <v>14</v>
      </c>
      <c r="U40" s="417" t="s">
        <v>16</v>
      </c>
      <c r="V40" s="417" t="s">
        <v>15</v>
      </c>
      <c r="W40" s="417"/>
      <c r="X40" s="417"/>
      <c r="Y40" s="427" t="s">
        <v>705</v>
      </c>
    </row>
    <row r="41" spans="1:25" x14ac:dyDescent="0.25">
      <c r="A41" s="499" t="s">
        <v>706</v>
      </c>
      <c r="B41" s="500"/>
      <c r="C41" s="500"/>
      <c r="D41" s="500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500"/>
      <c r="W41" s="500"/>
      <c r="X41" s="500"/>
      <c r="Y41" s="501"/>
    </row>
    <row r="42" spans="1:25" ht="118.8" x14ac:dyDescent="0.25">
      <c r="A42" s="430" t="s">
        <v>707</v>
      </c>
      <c r="B42" s="418" t="s">
        <v>708</v>
      </c>
      <c r="C42" s="418" t="s">
        <v>709</v>
      </c>
      <c r="D42" s="419">
        <v>24668.7</v>
      </c>
      <c r="E42" s="419">
        <v>21695.5</v>
      </c>
      <c r="F42" s="419">
        <v>87.9</v>
      </c>
      <c r="G42" s="419">
        <v>1050</v>
      </c>
      <c r="H42" s="419">
        <v>1050</v>
      </c>
      <c r="I42" s="419">
        <v>23554.6</v>
      </c>
      <c r="J42" s="419">
        <v>20592</v>
      </c>
      <c r="K42" s="419">
        <v>64.099999999999994</v>
      </c>
      <c r="L42" s="419">
        <v>53.5</v>
      </c>
      <c r="M42" s="419">
        <v>0</v>
      </c>
      <c r="N42" s="419">
        <v>0</v>
      </c>
      <c r="O42" s="419">
        <v>21695.5</v>
      </c>
      <c r="P42" s="418" t="s">
        <v>710</v>
      </c>
      <c r="Q42" s="422"/>
      <c r="R42" s="422"/>
      <c r="S42" s="417"/>
      <c r="T42" s="417"/>
      <c r="U42" s="417" t="s">
        <v>711</v>
      </c>
      <c r="V42" s="417" t="s">
        <v>712</v>
      </c>
      <c r="W42" s="422"/>
      <c r="X42" s="422"/>
      <c r="Y42" s="427" t="s">
        <v>713</v>
      </c>
    </row>
    <row r="43" spans="1:25" ht="79.2" hidden="1" x14ac:dyDescent="0.25">
      <c r="A43" s="425" t="s">
        <v>714</v>
      </c>
      <c r="B43" s="418" t="s">
        <v>715</v>
      </c>
      <c r="C43" s="418"/>
      <c r="D43" s="419">
        <v>0</v>
      </c>
      <c r="E43" s="419">
        <v>0</v>
      </c>
      <c r="F43" s="419">
        <v>0</v>
      </c>
      <c r="G43" s="419">
        <v>0</v>
      </c>
      <c r="H43" s="419">
        <v>0</v>
      </c>
      <c r="I43" s="419">
        <v>0</v>
      </c>
      <c r="J43" s="419">
        <v>0</v>
      </c>
      <c r="K43" s="419">
        <v>0</v>
      </c>
      <c r="L43" s="419">
        <v>0</v>
      </c>
      <c r="M43" s="419">
        <v>0</v>
      </c>
      <c r="N43" s="419">
        <v>0</v>
      </c>
      <c r="O43" s="419">
        <v>0</v>
      </c>
      <c r="P43" s="418" t="s">
        <v>716</v>
      </c>
      <c r="Q43" s="417"/>
      <c r="R43" s="417"/>
      <c r="S43" s="417"/>
      <c r="T43" s="417"/>
      <c r="U43" s="417" t="s">
        <v>717</v>
      </c>
      <c r="V43" s="417" t="s">
        <v>718</v>
      </c>
      <c r="W43" s="417"/>
      <c r="X43" s="417"/>
      <c r="Y43" s="431" t="s">
        <v>30</v>
      </c>
    </row>
    <row r="44" spans="1:25" ht="132" hidden="1" x14ac:dyDescent="0.25">
      <c r="A44" s="425" t="s">
        <v>620</v>
      </c>
      <c r="B44" s="418" t="s">
        <v>719</v>
      </c>
      <c r="C44" s="418"/>
      <c r="D44" s="419">
        <v>0</v>
      </c>
      <c r="E44" s="419">
        <v>0</v>
      </c>
      <c r="F44" s="419">
        <v>0</v>
      </c>
      <c r="G44" s="419">
        <v>0</v>
      </c>
      <c r="H44" s="419">
        <v>0</v>
      </c>
      <c r="I44" s="419">
        <v>0</v>
      </c>
      <c r="J44" s="419">
        <v>0</v>
      </c>
      <c r="K44" s="419">
        <v>0</v>
      </c>
      <c r="L44" s="419">
        <v>0</v>
      </c>
      <c r="M44" s="419">
        <v>0</v>
      </c>
      <c r="N44" s="419">
        <v>0</v>
      </c>
      <c r="O44" s="419">
        <v>0</v>
      </c>
      <c r="P44" s="418" t="s">
        <v>720</v>
      </c>
      <c r="Q44" s="417"/>
      <c r="R44" s="417"/>
      <c r="S44" s="417"/>
      <c r="T44" s="417"/>
      <c r="U44" s="417" t="s">
        <v>721</v>
      </c>
      <c r="V44" s="417" t="s">
        <v>722</v>
      </c>
      <c r="W44" s="417"/>
      <c r="X44" s="417"/>
      <c r="Y44" s="431" t="s">
        <v>30</v>
      </c>
    </row>
    <row r="45" spans="1:25" ht="66" x14ac:dyDescent="0.25">
      <c r="A45" s="425" t="s">
        <v>620</v>
      </c>
      <c r="B45" s="418" t="s">
        <v>719</v>
      </c>
      <c r="C45" s="418"/>
      <c r="D45" s="419">
        <v>0</v>
      </c>
      <c r="E45" s="419">
        <v>0</v>
      </c>
      <c r="F45" s="419">
        <v>0</v>
      </c>
      <c r="G45" s="419">
        <v>0</v>
      </c>
      <c r="H45" s="419">
        <v>0</v>
      </c>
      <c r="I45" s="419">
        <v>0</v>
      </c>
      <c r="J45" s="419">
        <v>0</v>
      </c>
      <c r="K45" s="419">
        <v>0</v>
      </c>
      <c r="L45" s="419">
        <v>0</v>
      </c>
      <c r="M45" s="419">
        <v>0</v>
      </c>
      <c r="N45" s="419">
        <v>0</v>
      </c>
      <c r="O45" s="419">
        <v>0</v>
      </c>
      <c r="P45" s="418" t="s">
        <v>723</v>
      </c>
      <c r="Q45" s="417"/>
      <c r="R45" s="417"/>
      <c r="S45" s="417"/>
      <c r="T45" s="417"/>
      <c r="U45" s="417" t="s">
        <v>724</v>
      </c>
      <c r="V45" s="417" t="s">
        <v>107</v>
      </c>
      <c r="W45" s="417"/>
      <c r="X45" s="417"/>
      <c r="Y45" s="427" t="s">
        <v>725</v>
      </c>
    </row>
    <row r="46" spans="1:25" x14ac:dyDescent="0.25">
      <c r="A46" s="499" t="s">
        <v>726</v>
      </c>
      <c r="B46" s="500"/>
      <c r="C46" s="500"/>
      <c r="D46" s="500"/>
      <c r="E46" s="500"/>
      <c r="F46" s="500"/>
      <c r="G46" s="500"/>
      <c r="H46" s="500"/>
      <c r="I46" s="500"/>
      <c r="J46" s="500"/>
      <c r="K46" s="500"/>
      <c r="L46" s="500"/>
      <c r="M46" s="500"/>
      <c r="N46" s="500"/>
      <c r="O46" s="500"/>
      <c r="P46" s="500"/>
      <c r="Q46" s="500"/>
      <c r="R46" s="500"/>
      <c r="S46" s="500"/>
      <c r="T46" s="500"/>
      <c r="U46" s="500"/>
      <c r="V46" s="500"/>
      <c r="W46" s="500"/>
      <c r="X46" s="500"/>
      <c r="Y46" s="501"/>
    </row>
    <row r="47" spans="1:25" x14ac:dyDescent="0.25">
      <c r="A47" s="513" t="s">
        <v>727</v>
      </c>
      <c r="B47" s="508"/>
      <c r="C47" s="508"/>
      <c r="D47" s="508"/>
      <c r="E47" s="508"/>
      <c r="F47" s="508"/>
      <c r="G47" s="508"/>
      <c r="H47" s="508"/>
      <c r="I47" s="508"/>
      <c r="J47" s="508"/>
      <c r="K47" s="508"/>
      <c r="L47" s="508"/>
      <c r="M47" s="508"/>
      <c r="N47" s="508"/>
      <c r="O47" s="508"/>
      <c r="P47" s="508"/>
      <c r="Q47" s="508"/>
      <c r="R47" s="508"/>
      <c r="S47" s="508"/>
      <c r="T47" s="508"/>
      <c r="U47" s="508"/>
      <c r="V47" s="508"/>
      <c r="W47" s="508"/>
      <c r="X47" s="508"/>
      <c r="Y47" s="509"/>
    </row>
    <row r="48" spans="1:25" x14ac:dyDescent="0.25">
      <c r="A48" s="425" t="s">
        <v>728</v>
      </c>
      <c r="B48" s="423" t="s">
        <v>729</v>
      </c>
      <c r="C48" s="418"/>
      <c r="D48" s="419">
        <v>0</v>
      </c>
      <c r="E48" s="419">
        <v>0</v>
      </c>
      <c r="F48" s="419">
        <v>0</v>
      </c>
      <c r="G48" s="419">
        <v>0</v>
      </c>
      <c r="H48" s="419">
        <v>0</v>
      </c>
      <c r="I48" s="419">
        <v>0</v>
      </c>
      <c r="J48" s="419">
        <v>0</v>
      </c>
      <c r="K48" s="419">
        <v>0</v>
      </c>
      <c r="L48" s="419">
        <v>0</v>
      </c>
      <c r="M48" s="419">
        <v>0</v>
      </c>
      <c r="N48" s="419">
        <v>0</v>
      </c>
      <c r="O48" s="419">
        <v>0</v>
      </c>
      <c r="P48" s="418" t="s">
        <v>730</v>
      </c>
      <c r="Q48" s="417"/>
      <c r="R48" s="417"/>
      <c r="S48" s="417" t="s">
        <v>638</v>
      </c>
      <c r="T48" s="417" t="s">
        <v>731</v>
      </c>
      <c r="U48" s="417" t="s">
        <v>638</v>
      </c>
      <c r="V48" s="417" t="s">
        <v>731</v>
      </c>
      <c r="W48" s="417"/>
      <c r="X48" s="417"/>
      <c r="Y48" s="514" t="s">
        <v>732</v>
      </c>
    </row>
    <row r="49" spans="1:25" x14ac:dyDescent="0.25">
      <c r="A49" s="425" t="s">
        <v>728</v>
      </c>
      <c r="B49" s="423" t="s">
        <v>729</v>
      </c>
      <c r="C49" s="418"/>
      <c r="D49" s="419">
        <v>0</v>
      </c>
      <c r="E49" s="419">
        <v>0</v>
      </c>
      <c r="F49" s="419">
        <v>0</v>
      </c>
      <c r="G49" s="419">
        <v>0</v>
      </c>
      <c r="H49" s="419">
        <v>0</v>
      </c>
      <c r="I49" s="419">
        <v>0</v>
      </c>
      <c r="J49" s="419">
        <v>0</v>
      </c>
      <c r="K49" s="419">
        <v>0</v>
      </c>
      <c r="L49" s="419">
        <v>0</v>
      </c>
      <c r="M49" s="419">
        <v>0</v>
      </c>
      <c r="N49" s="419">
        <v>0</v>
      </c>
      <c r="O49" s="419">
        <v>0</v>
      </c>
      <c r="P49" s="418" t="s">
        <v>733</v>
      </c>
      <c r="Q49" s="417"/>
      <c r="R49" s="417" t="s">
        <v>605</v>
      </c>
      <c r="S49" s="417" t="s">
        <v>698</v>
      </c>
      <c r="T49" s="417" t="s">
        <v>605</v>
      </c>
      <c r="U49" s="417" t="s">
        <v>698</v>
      </c>
      <c r="V49" s="417" t="s">
        <v>605</v>
      </c>
      <c r="W49" s="417"/>
      <c r="X49" s="417"/>
      <c r="Y49" s="514"/>
    </row>
    <row r="50" spans="1:25" x14ac:dyDescent="0.25">
      <c r="A50" s="425" t="s">
        <v>728</v>
      </c>
      <c r="B50" s="423" t="s">
        <v>729</v>
      </c>
      <c r="C50" s="418"/>
      <c r="D50" s="419">
        <v>0</v>
      </c>
      <c r="E50" s="419">
        <v>0</v>
      </c>
      <c r="F50" s="419">
        <v>0</v>
      </c>
      <c r="G50" s="419">
        <v>0</v>
      </c>
      <c r="H50" s="419">
        <v>0</v>
      </c>
      <c r="I50" s="419">
        <v>0</v>
      </c>
      <c r="J50" s="419">
        <v>0</v>
      </c>
      <c r="K50" s="419">
        <v>0</v>
      </c>
      <c r="L50" s="419">
        <v>0</v>
      </c>
      <c r="M50" s="419">
        <v>0</v>
      </c>
      <c r="N50" s="419">
        <v>0</v>
      </c>
      <c r="O50" s="419">
        <v>0</v>
      </c>
      <c r="P50" s="418" t="s">
        <v>734</v>
      </c>
      <c r="Q50" s="417"/>
      <c r="R50" s="417"/>
      <c r="S50" s="417" t="s">
        <v>735</v>
      </c>
      <c r="T50" s="417" t="s">
        <v>576</v>
      </c>
      <c r="U50" s="417" t="s">
        <v>735</v>
      </c>
      <c r="V50" s="417" t="s">
        <v>576</v>
      </c>
      <c r="W50" s="417"/>
      <c r="X50" s="417"/>
      <c r="Y50" s="514"/>
    </row>
    <row r="51" spans="1:25" ht="76.5" customHeight="1" x14ac:dyDescent="0.25">
      <c r="A51" s="425" t="s">
        <v>736</v>
      </c>
      <c r="B51" s="418" t="s">
        <v>737</v>
      </c>
      <c r="C51" s="418" t="s">
        <v>738</v>
      </c>
      <c r="D51" s="419">
        <v>360</v>
      </c>
      <c r="E51" s="419">
        <v>0</v>
      </c>
      <c r="F51" s="419">
        <v>0</v>
      </c>
      <c r="G51" s="419">
        <v>0</v>
      </c>
      <c r="H51" s="419">
        <v>0</v>
      </c>
      <c r="I51" s="419">
        <v>360</v>
      </c>
      <c r="J51" s="419">
        <v>0</v>
      </c>
      <c r="K51" s="419">
        <v>0</v>
      </c>
      <c r="L51" s="419">
        <v>0</v>
      </c>
      <c r="M51" s="419">
        <v>0</v>
      </c>
      <c r="N51" s="419">
        <v>0</v>
      </c>
      <c r="O51" s="419">
        <v>0</v>
      </c>
      <c r="P51" s="418" t="s">
        <v>739</v>
      </c>
      <c r="Q51" s="417"/>
      <c r="R51" s="417"/>
      <c r="S51" s="417" t="s">
        <v>14</v>
      </c>
      <c r="T51" s="417" t="s">
        <v>576</v>
      </c>
      <c r="U51" s="417" t="s">
        <v>14</v>
      </c>
      <c r="V51" s="417" t="s">
        <v>576</v>
      </c>
      <c r="W51" s="417"/>
      <c r="X51" s="417"/>
      <c r="Y51" s="427" t="s">
        <v>740</v>
      </c>
    </row>
    <row r="52" spans="1:25" hidden="1" x14ac:dyDescent="0.25">
      <c r="A52" s="513" t="s">
        <v>741</v>
      </c>
      <c r="B52" s="508"/>
      <c r="C52" s="508"/>
      <c r="D52" s="508"/>
      <c r="E52" s="508"/>
      <c r="F52" s="508"/>
      <c r="G52" s="508"/>
      <c r="H52" s="508"/>
      <c r="I52" s="508"/>
      <c r="J52" s="508"/>
      <c r="K52" s="508"/>
      <c r="L52" s="508"/>
      <c r="M52" s="508"/>
      <c r="N52" s="508"/>
      <c r="O52" s="508"/>
      <c r="P52" s="508"/>
      <c r="Q52" s="508"/>
      <c r="R52" s="508"/>
      <c r="S52" s="508"/>
      <c r="T52" s="508"/>
      <c r="U52" s="508"/>
      <c r="V52" s="508"/>
      <c r="W52" s="508"/>
      <c r="X52" s="508"/>
      <c r="Y52" s="509"/>
    </row>
    <row r="53" spans="1:25" ht="105.6" hidden="1" x14ac:dyDescent="0.25">
      <c r="A53" s="428" t="s">
        <v>742</v>
      </c>
      <c r="B53" s="415" t="s">
        <v>743</v>
      </c>
      <c r="C53" s="415" t="s">
        <v>738</v>
      </c>
      <c r="D53" s="416">
        <v>614.6</v>
      </c>
      <c r="E53" s="416">
        <v>307.3</v>
      </c>
      <c r="F53" s="416">
        <v>50</v>
      </c>
      <c r="G53" s="416">
        <v>0</v>
      </c>
      <c r="H53" s="416">
        <v>0</v>
      </c>
      <c r="I53" s="416">
        <v>614.6</v>
      </c>
      <c r="J53" s="416">
        <v>307.3</v>
      </c>
      <c r="K53" s="416">
        <v>0</v>
      </c>
      <c r="L53" s="416">
        <v>0</v>
      </c>
      <c r="M53" s="416">
        <v>0</v>
      </c>
      <c r="N53" s="416">
        <v>0</v>
      </c>
      <c r="O53" s="416">
        <v>307.3</v>
      </c>
      <c r="P53" s="415" t="s">
        <v>744</v>
      </c>
      <c r="Q53" s="413" t="s">
        <v>591</v>
      </c>
      <c r="R53" s="413" t="s">
        <v>591</v>
      </c>
      <c r="S53" s="413" t="s">
        <v>593</v>
      </c>
      <c r="T53" s="413" t="s">
        <v>593</v>
      </c>
      <c r="U53" s="413" t="s">
        <v>595</v>
      </c>
      <c r="V53" s="413" t="s">
        <v>593</v>
      </c>
      <c r="W53" s="413"/>
      <c r="X53" s="413"/>
      <c r="Y53" s="429" t="s">
        <v>745</v>
      </c>
    </row>
    <row r="54" spans="1:25" ht="118.8" hidden="1" x14ac:dyDescent="0.25">
      <c r="A54" s="428" t="s">
        <v>746</v>
      </c>
      <c r="B54" s="415" t="s">
        <v>747</v>
      </c>
      <c r="C54" s="415" t="s">
        <v>748</v>
      </c>
      <c r="D54" s="416">
        <v>10708.1</v>
      </c>
      <c r="E54" s="416">
        <v>7379.8</v>
      </c>
      <c r="F54" s="416">
        <v>68.900000000000006</v>
      </c>
      <c r="G54" s="416">
        <v>0</v>
      </c>
      <c r="H54" s="416">
        <v>0</v>
      </c>
      <c r="I54" s="416">
        <v>10708.1</v>
      </c>
      <c r="J54" s="416">
        <v>7379.8</v>
      </c>
      <c r="K54" s="416">
        <v>0</v>
      </c>
      <c r="L54" s="416">
        <v>0</v>
      </c>
      <c r="M54" s="416">
        <v>0</v>
      </c>
      <c r="N54" s="416">
        <v>0</v>
      </c>
      <c r="O54" s="416">
        <v>7379.8</v>
      </c>
      <c r="P54" s="415" t="s">
        <v>749</v>
      </c>
      <c r="Q54" s="413" t="s">
        <v>591</v>
      </c>
      <c r="R54" s="413" t="s">
        <v>591</v>
      </c>
      <c r="S54" s="413" t="s">
        <v>593</v>
      </c>
      <c r="T54" s="413" t="s">
        <v>593</v>
      </c>
      <c r="U54" s="413" t="s">
        <v>595</v>
      </c>
      <c r="V54" s="413" t="s">
        <v>750</v>
      </c>
      <c r="W54" s="413"/>
      <c r="X54" s="413"/>
      <c r="Y54" s="429" t="s">
        <v>751</v>
      </c>
    </row>
    <row r="55" spans="1:25" x14ac:dyDescent="0.25">
      <c r="A55" s="499" t="s">
        <v>752</v>
      </c>
      <c r="B55" s="500"/>
      <c r="C55" s="500"/>
      <c r="D55" s="500"/>
      <c r="E55" s="500"/>
      <c r="F55" s="500"/>
      <c r="G55" s="500"/>
      <c r="H55" s="500"/>
      <c r="I55" s="500"/>
      <c r="J55" s="500"/>
      <c r="K55" s="500"/>
      <c r="L55" s="500"/>
      <c r="M55" s="500"/>
      <c r="N55" s="500"/>
      <c r="O55" s="500"/>
      <c r="P55" s="500"/>
      <c r="Q55" s="500"/>
      <c r="R55" s="500"/>
      <c r="S55" s="500"/>
      <c r="T55" s="500"/>
      <c r="U55" s="500"/>
      <c r="V55" s="500"/>
      <c r="W55" s="500"/>
      <c r="X55" s="500"/>
      <c r="Y55" s="501"/>
    </row>
    <row r="56" spans="1:25" x14ac:dyDescent="0.25">
      <c r="A56" s="513" t="s">
        <v>753</v>
      </c>
      <c r="B56" s="508"/>
      <c r="C56" s="508"/>
      <c r="D56" s="508"/>
      <c r="E56" s="508"/>
      <c r="F56" s="508"/>
      <c r="G56" s="508"/>
      <c r="H56" s="508"/>
      <c r="I56" s="508"/>
      <c r="J56" s="508"/>
      <c r="K56" s="508"/>
      <c r="L56" s="508"/>
      <c r="M56" s="508"/>
      <c r="N56" s="508"/>
      <c r="O56" s="508"/>
      <c r="P56" s="508"/>
      <c r="Q56" s="508"/>
      <c r="R56" s="508"/>
      <c r="S56" s="508"/>
      <c r="T56" s="508"/>
      <c r="U56" s="508"/>
      <c r="V56" s="508"/>
      <c r="W56" s="508"/>
      <c r="X56" s="508"/>
      <c r="Y56" s="509"/>
    </row>
    <row r="57" spans="1:25" ht="92.4" hidden="1" x14ac:dyDescent="0.25">
      <c r="A57" s="428" t="s">
        <v>754</v>
      </c>
      <c r="B57" s="415" t="s">
        <v>755</v>
      </c>
      <c r="C57" s="415"/>
      <c r="D57" s="416">
        <v>0</v>
      </c>
      <c r="E57" s="416">
        <v>0</v>
      </c>
      <c r="F57" s="416">
        <v>0</v>
      </c>
      <c r="G57" s="416">
        <v>0</v>
      </c>
      <c r="H57" s="416">
        <v>0</v>
      </c>
      <c r="I57" s="416">
        <v>0</v>
      </c>
      <c r="J57" s="416">
        <v>0</v>
      </c>
      <c r="K57" s="416">
        <v>0</v>
      </c>
      <c r="L57" s="416">
        <v>0</v>
      </c>
      <c r="M57" s="416">
        <v>0</v>
      </c>
      <c r="N57" s="416">
        <v>0</v>
      </c>
      <c r="O57" s="416">
        <v>0</v>
      </c>
      <c r="P57" s="415" t="s">
        <v>756</v>
      </c>
      <c r="Q57" s="413"/>
      <c r="R57" s="413"/>
      <c r="S57" s="413"/>
      <c r="T57" s="413"/>
      <c r="U57" s="413" t="s">
        <v>717</v>
      </c>
      <c r="V57" s="413" t="s">
        <v>757</v>
      </c>
      <c r="W57" s="413"/>
      <c r="X57" s="413"/>
      <c r="Y57" s="432" t="s">
        <v>30</v>
      </c>
    </row>
    <row r="58" spans="1:25" ht="92.4" x14ac:dyDescent="0.25">
      <c r="A58" s="425" t="s">
        <v>635</v>
      </c>
      <c r="B58" s="418" t="s">
        <v>758</v>
      </c>
      <c r="C58" s="418" t="s">
        <v>631</v>
      </c>
      <c r="D58" s="419">
        <v>4000</v>
      </c>
      <c r="E58" s="419">
        <v>0</v>
      </c>
      <c r="F58" s="419">
        <v>0</v>
      </c>
      <c r="G58" s="419">
        <v>0</v>
      </c>
      <c r="H58" s="419">
        <v>0</v>
      </c>
      <c r="I58" s="419">
        <v>4000</v>
      </c>
      <c r="J58" s="419">
        <v>0</v>
      </c>
      <c r="K58" s="419">
        <v>0</v>
      </c>
      <c r="L58" s="419">
        <v>0</v>
      </c>
      <c r="M58" s="419">
        <v>0</v>
      </c>
      <c r="N58" s="419">
        <v>0</v>
      </c>
      <c r="O58" s="419">
        <v>0</v>
      </c>
      <c r="P58" s="418" t="s">
        <v>759</v>
      </c>
      <c r="Q58" s="417"/>
      <c r="R58" s="417"/>
      <c r="S58" s="417"/>
      <c r="T58" s="417"/>
      <c r="U58" s="417" t="s">
        <v>16</v>
      </c>
      <c r="V58" s="417" t="s">
        <v>576</v>
      </c>
      <c r="W58" s="417"/>
      <c r="X58" s="417"/>
      <c r="Y58" s="427" t="s">
        <v>760</v>
      </c>
    </row>
    <row r="59" spans="1:25" x14ac:dyDescent="0.25">
      <c r="A59" s="513" t="s">
        <v>761</v>
      </c>
      <c r="B59" s="508"/>
      <c r="C59" s="508"/>
      <c r="D59" s="508"/>
      <c r="E59" s="508"/>
      <c r="F59" s="508"/>
      <c r="G59" s="508"/>
      <c r="H59" s="508"/>
      <c r="I59" s="508"/>
      <c r="J59" s="508"/>
      <c r="K59" s="508"/>
      <c r="L59" s="508"/>
      <c r="M59" s="508"/>
      <c r="N59" s="508"/>
      <c r="O59" s="508"/>
      <c r="P59" s="508"/>
      <c r="Q59" s="508"/>
      <c r="R59" s="508"/>
      <c r="S59" s="508"/>
      <c r="T59" s="508"/>
      <c r="U59" s="508"/>
      <c r="V59" s="508"/>
      <c r="W59" s="508"/>
      <c r="X59" s="508"/>
      <c r="Y59" s="509"/>
    </row>
    <row r="60" spans="1:25" ht="92.4" x14ac:dyDescent="0.25">
      <c r="A60" s="425" t="s">
        <v>762</v>
      </c>
      <c r="B60" s="418" t="s">
        <v>763</v>
      </c>
      <c r="C60" s="418" t="s">
        <v>764</v>
      </c>
      <c r="D60" s="419">
        <v>215882.5</v>
      </c>
      <c r="E60" s="419">
        <v>82267.5</v>
      </c>
      <c r="F60" s="419">
        <v>38.1</v>
      </c>
      <c r="G60" s="419">
        <v>71100</v>
      </c>
      <c r="H60" s="419">
        <v>8130.2</v>
      </c>
      <c r="I60" s="419">
        <v>94862.5</v>
      </c>
      <c r="J60" s="419">
        <v>50313.3</v>
      </c>
      <c r="K60" s="419">
        <v>49920</v>
      </c>
      <c r="L60" s="419">
        <v>23824</v>
      </c>
      <c r="M60" s="419">
        <v>0</v>
      </c>
      <c r="N60" s="419">
        <v>0</v>
      </c>
      <c r="O60" s="419">
        <v>82267.5</v>
      </c>
      <c r="P60" s="418" t="s">
        <v>765</v>
      </c>
      <c r="Q60" s="417"/>
      <c r="R60" s="417"/>
      <c r="S60" s="417" t="s">
        <v>593</v>
      </c>
      <c r="T60" s="417" t="s">
        <v>576</v>
      </c>
      <c r="U60" s="417" t="s">
        <v>766</v>
      </c>
      <c r="V60" s="417" t="s">
        <v>767</v>
      </c>
      <c r="W60" s="417"/>
      <c r="X60" s="417"/>
      <c r="Y60" s="427" t="s">
        <v>768</v>
      </c>
    </row>
    <row r="61" spans="1:25" x14ac:dyDescent="0.25">
      <c r="A61" s="499" t="s">
        <v>769</v>
      </c>
      <c r="B61" s="500"/>
      <c r="C61" s="500"/>
      <c r="D61" s="500"/>
      <c r="E61" s="500"/>
      <c r="F61" s="500"/>
      <c r="G61" s="500"/>
      <c r="H61" s="500"/>
      <c r="I61" s="500"/>
      <c r="J61" s="500"/>
      <c r="K61" s="500"/>
      <c r="L61" s="500"/>
      <c r="M61" s="500"/>
      <c r="N61" s="500"/>
      <c r="O61" s="500"/>
      <c r="P61" s="500"/>
      <c r="Q61" s="500"/>
      <c r="R61" s="500"/>
      <c r="S61" s="500"/>
      <c r="T61" s="500"/>
      <c r="U61" s="500"/>
      <c r="V61" s="500"/>
      <c r="W61" s="500"/>
      <c r="X61" s="500"/>
      <c r="Y61" s="501"/>
    </row>
    <row r="62" spans="1:25" x14ac:dyDescent="0.25">
      <c r="A62" s="513" t="s">
        <v>770</v>
      </c>
      <c r="B62" s="508"/>
      <c r="C62" s="508"/>
      <c r="D62" s="508"/>
      <c r="E62" s="508"/>
      <c r="F62" s="508"/>
      <c r="G62" s="508"/>
      <c r="H62" s="508"/>
      <c r="I62" s="508"/>
      <c r="J62" s="508"/>
      <c r="K62" s="508"/>
      <c r="L62" s="508"/>
      <c r="M62" s="508"/>
      <c r="N62" s="508"/>
      <c r="O62" s="508"/>
      <c r="P62" s="508"/>
      <c r="Q62" s="508"/>
      <c r="R62" s="508"/>
      <c r="S62" s="508"/>
      <c r="T62" s="508"/>
      <c r="U62" s="508"/>
      <c r="V62" s="508"/>
      <c r="W62" s="508"/>
      <c r="X62" s="508"/>
      <c r="Y62" s="509"/>
    </row>
    <row r="63" spans="1:25" ht="92.4" x14ac:dyDescent="0.25">
      <c r="A63" s="425" t="s">
        <v>754</v>
      </c>
      <c r="B63" s="418" t="s">
        <v>771</v>
      </c>
      <c r="C63" s="418" t="s">
        <v>631</v>
      </c>
      <c r="D63" s="419">
        <v>0</v>
      </c>
      <c r="E63" s="419">
        <v>0</v>
      </c>
      <c r="F63" s="419">
        <v>0</v>
      </c>
      <c r="G63" s="419">
        <v>0</v>
      </c>
      <c r="H63" s="419">
        <v>0</v>
      </c>
      <c r="I63" s="419">
        <v>0</v>
      </c>
      <c r="J63" s="419">
        <v>0</v>
      </c>
      <c r="K63" s="419">
        <v>0</v>
      </c>
      <c r="L63" s="419">
        <v>0</v>
      </c>
      <c r="M63" s="419">
        <v>0</v>
      </c>
      <c r="N63" s="419">
        <v>0</v>
      </c>
      <c r="O63" s="419">
        <v>0</v>
      </c>
      <c r="P63" s="418" t="s">
        <v>772</v>
      </c>
      <c r="Q63" s="417" t="s">
        <v>773</v>
      </c>
      <c r="R63" s="417" t="s">
        <v>774</v>
      </c>
      <c r="S63" s="417" t="s">
        <v>775</v>
      </c>
      <c r="T63" s="417" t="s">
        <v>776</v>
      </c>
      <c r="U63" s="417" t="s">
        <v>777</v>
      </c>
      <c r="V63" s="417" t="s">
        <v>778</v>
      </c>
      <c r="W63" s="417"/>
      <c r="X63" s="417"/>
      <c r="Y63" s="426" t="s">
        <v>1128</v>
      </c>
    </row>
    <row r="64" spans="1:25" ht="79.2" x14ac:dyDescent="0.25">
      <c r="A64" s="425" t="s">
        <v>779</v>
      </c>
      <c r="B64" s="418" t="s">
        <v>780</v>
      </c>
      <c r="C64" s="418" t="s">
        <v>631</v>
      </c>
      <c r="D64" s="419">
        <v>4043.9</v>
      </c>
      <c r="E64" s="419">
        <v>2447.5</v>
      </c>
      <c r="F64" s="419">
        <v>60.5</v>
      </c>
      <c r="G64" s="419">
        <v>0</v>
      </c>
      <c r="H64" s="419">
        <v>0</v>
      </c>
      <c r="I64" s="419">
        <v>4043.9</v>
      </c>
      <c r="J64" s="419">
        <v>2447.5</v>
      </c>
      <c r="K64" s="419">
        <v>0</v>
      </c>
      <c r="L64" s="419">
        <v>0</v>
      </c>
      <c r="M64" s="419">
        <v>0</v>
      </c>
      <c r="N64" s="419">
        <v>0</v>
      </c>
      <c r="O64" s="419">
        <v>2447.5</v>
      </c>
      <c r="P64" s="418" t="s">
        <v>781</v>
      </c>
      <c r="Q64" s="417" t="s">
        <v>782</v>
      </c>
      <c r="R64" s="417" t="s">
        <v>783</v>
      </c>
      <c r="S64" s="417" t="s">
        <v>784</v>
      </c>
      <c r="T64" s="417" t="s">
        <v>785</v>
      </c>
      <c r="U64" s="417" t="s">
        <v>786</v>
      </c>
      <c r="V64" s="417" t="s">
        <v>787</v>
      </c>
      <c r="W64" s="417"/>
      <c r="X64" s="417"/>
      <c r="Y64" s="427" t="s">
        <v>788</v>
      </c>
    </row>
    <row r="65" spans="1:25" ht="66" x14ac:dyDescent="0.25">
      <c r="A65" s="425" t="s">
        <v>789</v>
      </c>
      <c r="B65" s="418" t="s">
        <v>790</v>
      </c>
      <c r="C65" s="418" t="s">
        <v>631</v>
      </c>
      <c r="D65" s="419">
        <v>1050</v>
      </c>
      <c r="E65" s="419">
        <v>625</v>
      </c>
      <c r="F65" s="419">
        <v>59.5</v>
      </c>
      <c r="G65" s="419">
        <v>0</v>
      </c>
      <c r="H65" s="419">
        <v>0</v>
      </c>
      <c r="I65" s="419">
        <v>1050</v>
      </c>
      <c r="J65" s="419">
        <v>625</v>
      </c>
      <c r="K65" s="419">
        <v>0</v>
      </c>
      <c r="L65" s="419">
        <v>0</v>
      </c>
      <c r="M65" s="419">
        <v>0</v>
      </c>
      <c r="N65" s="419">
        <v>0</v>
      </c>
      <c r="O65" s="419">
        <v>625</v>
      </c>
      <c r="P65" s="418" t="s">
        <v>791</v>
      </c>
      <c r="Q65" s="417" t="s">
        <v>16</v>
      </c>
      <c r="R65" s="417" t="s">
        <v>211</v>
      </c>
      <c r="S65" s="417" t="s">
        <v>214</v>
      </c>
      <c r="T65" s="417" t="s">
        <v>215</v>
      </c>
      <c r="U65" s="417" t="s">
        <v>792</v>
      </c>
      <c r="V65" s="417" t="s">
        <v>793</v>
      </c>
      <c r="W65" s="417"/>
      <c r="X65" s="417"/>
      <c r="Y65" s="514" t="s">
        <v>794</v>
      </c>
    </row>
    <row r="66" spans="1:25" ht="45" customHeight="1" x14ac:dyDescent="0.25">
      <c r="A66" s="425" t="s">
        <v>795</v>
      </c>
      <c r="B66" s="423" t="s">
        <v>796</v>
      </c>
      <c r="C66" s="418" t="s">
        <v>631</v>
      </c>
      <c r="D66" s="419">
        <v>792.2</v>
      </c>
      <c r="E66" s="419">
        <v>29.7</v>
      </c>
      <c r="F66" s="419">
        <v>3.7</v>
      </c>
      <c r="G66" s="419">
        <v>0</v>
      </c>
      <c r="H66" s="419">
        <v>0</v>
      </c>
      <c r="I66" s="419">
        <v>792.2</v>
      </c>
      <c r="J66" s="419">
        <v>29.7</v>
      </c>
      <c r="K66" s="419">
        <v>0</v>
      </c>
      <c r="L66" s="419">
        <v>0</v>
      </c>
      <c r="M66" s="419">
        <v>0</v>
      </c>
      <c r="N66" s="419">
        <v>0</v>
      </c>
      <c r="O66" s="419">
        <v>29.7</v>
      </c>
      <c r="P66" s="418" t="s">
        <v>797</v>
      </c>
      <c r="Q66" s="417" t="s">
        <v>14</v>
      </c>
      <c r="R66" s="417" t="s">
        <v>19</v>
      </c>
      <c r="S66" s="417" t="s">
        <v>19</v>
      </c>
      <c r="T66" s="417" t="s">
        <v>206</v>
      </c>
      <c r="U66" s="417" t="s">
        <v>798</v>
      </c>
      <c r="V66" s="417" t="s">
        <v>799</v>
      </c>
      <c r="W66" s="417"/>
      <c r="X66" s="417"/>
      <c r="Y66" s="514"/>
    </row>
    <row r="67" spans="1:25" x14ac:dyDescent="0.25">
      <c r="A67" s="513" t="s">
        <v>800</v>
      </c>
      <c r="B67" s="508"/>
      <c r="C67" s="508"/>
      <c r="D67" s="508"/>
      <c r="E67" s="508"/>
      <c r="F67" s="508"/>
      <c r="G67" s="508"/>
      <c r="H67" s="508"/>
      <c r="I67" s="508"/>
      <c r="J67" s="508"/>
      <c r="K67" s="508"/>
      <c r="L67" s="508"/>
      <c r="M67" s="508"/>
      <c r="N67" s="508"/>
      <c r="O67" s="508"/>
      <c r="P67" s="508"/>
      <c r="Q67" s="508"/>
      <c r="R67" s="508"/>
      <c r="S67" s="508"/>
      <c r="T67" s="508"/>
      <c r="U67" s="508"/>
      <c r="V67" s="508"/>
      <c r="W67" s="508"/>
      <c r="X67" s="508"/>
      <c r="Y67" s="509"/>
    </row>
    <row r="68" spans="1:25" ht="105.6" x14ac:dyDescent="0.25">
      <c r="A68" s="425" t="s">
        <v>801</v>
      </c>
      <c r="B68" s="418" t="s">
        <v>802</v>
      </c>
      <c r="C68" s="418" t="s">
        <v>631</v>
      </c>
      <c r="D68" s="419">
        <v>36771.5</v>
      </c>
      <c r="E68" s="419">
        <v>7101.7</v>
      </c>
      <c r="F68" s="419">
        <v>19.3</v>
      </c>
      <c r="G68" s="419">
        <v>23399.5</v>
      </c>
      <c r="H68" s="419">
        <v>4484.8999999999996</v>
      </c>
      <c r="I68" s="419">
        <v>4195.8</v>
      </c>
      <c r="J68" s="419">
        <v>858</v>
      </c>
      <c r="K68" s="419">
        <v>0</v>
      </c>
      <c r="L68" s="419">
        <v>0</v>
      </c>
      <c r="M68" s="419">
        <v>9176.2000000000007</v>
      </c>
      <c r="N68" s="419">
        <v>1758.8</v>
      </c>
      <c r="O68" s="419">
        <v>7101.7</v>
      </c>
      <c r="P68" s="418" t="s">
        <v>803</v>
      </c>
      <c r="Q68" s="417" t="s">
        <v>204</v>
      </c>
      <c r="R68" s="417" t="s">
        <v>212</v>
      </c>
      <c r="S68" s="417" t="s">
        <v>604</v>
      </c>
      <c r="T68" s="417" t="s">
        <v>804</v>
      </c>
      <c r="U68" s="417" t="s">
        <v>698</v>
      </c>
      <c r="V68" s="417" t="s">
        <v>805</v>
      </c>
      <c r="W68" s="417"/>
      <c r="X68" s="417"/>
      <c r="Y68" s="426" t="s">
        <v>1129</v>
      </c>
    </row>
    <row r="69" spans="1:25" x14ac:dyDescent="0.25">
      <c r="A69" s="499" t="s">
        <v>806</v>
      </c>
      <c r="B69" s="500"/>
      <c r="C69" s="500"/>
      <c r="D69" s="500"/>
      <c r="E69" s="500"/>
      <c r="F69" s="500"/>
      <c r="G69" s="500"/>
      <c r="H69" s="500"/>
      <c r="I69" s="500"/>
      <c r="J69" s="500"/>
      <c r="K69" s="500"/>
      <c r="L69" s="500"/>
      <c r="M69" s="500"/>
      <c r="N69" s="500"/>
      <c r="O69" s="500"/>
      <c r="P69" s="500"/>
      <c r="Q69" s="500"/>
      <c r="R69" s="500"/>
      <c r="S69" s="500"/>
      <c r="T69" s="500"/>
      <c r="U69" s="500"/>
      <c r="V69" s="500"/>
      <c r="W69" s="500"/>
      <c r="X69" s="500"/>
      <c r="Y69" s="501"/>
    </row>
    <row r="70" spans="1:25" x14ac:dyDescent="0.25">
      <c r="A70" s="513" t="s">
        <v>807</v>
      </c>
      <c r="B70" s="508"/>
      <c r="C70" s="508"/>
      <c r="D70" s="508"/>
      <c r="E70" s="508"/>
      <c r="F70" s="508"/>
      <c r="G70" s="508"/>
      <c r="H70" s="508"/>
      <c r="I70" s="508"/>
      <c r="J70" s="508"/>
      <c r="K70" s="508"/>
      <c r="L70" s="508"/>
      <c r="M70" s="508"/>
      <c r="N70" s="508"/>
      <c r="O70" s="508"/>
      <c r="P70" s="508"/>
      <c r="Q70" s="508"/>
      <c r="R70" s="508"/>
      <c r="S70" s="508"/>
      <c r="T70" s="508"/>
      <c r="U70" s="508"/>
      <c r="V70" s="508"/>
      <c r="W70" s="508"/>
      <c r="X70" s="508"/>
      <c r="Y70" s="509"/>
    </row>
    <row r="71" spans="1:25" ht="132" x14ac:dyDescent="0.25">
      <c r="A71" s="425" t="s">
        <v>808</v>
      </c>
      <c r="B71" s="418" t="s">
        <v>809</v>
      </c>
      <c r="C71" s="418" t="s">
        <v>810</v>
      </c>
      <c r="D71" s="419">
        <v>9794.2000000000007</v>
      </c>
      <c r="E71" s="419">
        <v>6734.2</v>
      </c>
      <c r="F71" s="419">
        <v>68.8</v>
      </c>
      <c r="G71" s="419">
        <v>0</v>
      </c>
      <c r="H71" s="419">
        <v>0</v>
      </c>
      <c r="I71" s="419">
        <v>9794.2000000000007</v>
      </c>
      <c r="J71" s="419">
        <v>6734.2</v>
      </c>
      <c r="K71" s="419">
        <v>0</v>
      </c>
      <c r="L71" s="419">
        <v>0</v>
      </c>
      <c r="M71" s="419">
        <v>0</v>
      </c>
      <c r="N71" s="419">
        <v>0</v>
      </c>
      <c r="O71" s="419">
        <v>6734.2</v>
      </c>
      <c r="P71" s="418" t="s">
        <v>811</v>
      </c>
      <c r="Q71" s="417" t="s">
        <v>812</v>
      </c>
      <c r="R71" s="417" t="s">
        <v>813</v>
      </c>
      <c r="S71" s="417" t="s">
        <v>814</v>
      </c>
      <c r="T71" s="417" t="s">
        <v>815</v>
      </c>
      <c r="U71" s="417" t="s">
        <v>816</v>
      </c>
      <c r="V71" s="417" t="s">
        <v>817</v>
      </c>
      <c r="W71" s="417"/>
      <c r="X71" s="417"/>
      <c r="Y71" s="514" t="s">
        <v>818</v>
      </c>
    </row>
    <row r="72" spans="1:25" ht="66" x14ac:dyDescent="0.25">
      <c r="A72" s="425" t="s">
        <v>808</v>
      </c>
      <c r="B72" s="418" t="s">
        <v>809</v>
      </c>
      <c r="C72" s="418"/>
      <c r="D72" s="419">
        <v>0</v>
      </c>
      <c r="E72" s="419">
        <v>0</v>
      </c>
      <c r="F72" s="419">
        <v>0</v>
      </c>
      <c r="G72" s="419">
        <v>0</v>
      </c>
      <c r="H72" s="419">
        <v>0</v>
      </c>
      <c r="I72" s="419">
        <v>0</v>
      </c>
      <c r="J72" s="419">
        <v>0</v>
      </c>
      <c r="K72" s="419">
        <v>0</v>
      </c>
      <c r="L72" s="419">
        <v>0</v>
      </c>
      <c r="M72" s="419">
        <v>0</v>
      </c>
      <c r="N72" s="419">
        <v>0</v>
      </c>
      <c r="O72" s="419">
        <v>0</v>
      </c>
      <c r="P72" s="418" t="s">
        <v>819</v>
      </c>
      <c r="Q72" s="417" t="s">
        <v>681</v>
      </c>
      <c r="R72" s="417" t="s">
        <v>820</v>
      </c>
      <c r="S72" s="417" t="s">
        <v>821</v>
      </c>
      <c r="T72" s="417" t="s">
        <v>821</v>
      </c>
      <c r="U72" s="417" t="s">
        <v>822</v>
      </c>
      <c r="V72" s="417" t="s">
        <v>823</v>
      </c>
      <c r="W72" s="417"/>
      <c r="X72" s="417"/>
      <c r="Y72" s="514"/>
    </row>
    <row r="73" spans="1:25" ht="79.2" x14ac:dyDescent="0.25">
      <c r="A73" s="425" t="s">
        <v>824</v>
      </c>
      <c r="B73" s="418" t="s">
        <v>825</v>
      </c>
      <c r="C73" s="418" t="s">
        <v>826</v>
      </c>
      <c r="D73" s="419">
        <v>1000</v>
      </c>
      <c r="E73" s="419">
        <v>500</v>
      </c>
      <c r="F73" s="419">
        <v>50</v>
      </c>
      <c r="G73" s="419">
        <v>0</v>
      </c>
      <c r="H73" s="419">
        <v>0</v>
      </c>
      <c r="I73" s="419">
        <v>1000</v>
      </c>
      <c r="J73" s="419">
        <v>500</v>
      </c>
      <c r="K73" s="419">
        <v>0</v>
      </c>
      <c r="L73" s="419">
        <v>0</v>
      </c>
      <c r="M73" s="419">
        <v>0</v>
      </c>
      <c r="N73" s="419">
        <v>0</v>
      </c>
      <c r="O73" s="419">
        <v>500</v>
      </c>
      <c r="P73" s="418" t="s">
        <v>827</v>
      </c>
      <c r="Q73" s="417" t="s">
        <v>591</v>
      </c>
      <c r="R73" s="417" t="s">
        <v>591</v>
      </c>
      <c r="S73" s="417" t="s">
        <v>593</v>
      </c>
      <c r="T73" s="417" t="s">
        <v>593</v>
      </c>
      <c r="U73" s="417" t="s">
        <v>595</v>
      </c>
      <c r="V73" s="417" t="s">
        <v>593</v>
      </c>
      <c r="W73" s="417"/>
      <c r="X73" s="417"/>
      <c r="Y73" s="427" t="s">
        <v>828</v>
      </c>
    </row>
    <row r="74" spans="1:25" hidden="1" x14ac:dyDescent="0.25">
      <c r="A74" s="513" t="s">
        <v>829</v>
      </c>
      <c r="B74" s="508"/>
      <c r="C74" s="508"/>
      <c r="D74" s="508"/>
      <c r="E74" s="508"/>
      <c r="F74" s="508"/>
      <c r="G74" s="508"/>
      <c r="H74" s="508"/>
      <c r="I74" s="508"/>
      <c r="J74" s="508"/>
      <c r="K74" s="508"/>
      <c r="L74" s="508"/>
      <c r="M74" s="508"/>
      <c r="N74" s="508"/>
      <c r="O74" s="508"/>
      <c r="P74" s="508"/>
      <c r="Q74" s="508"/>
      <c r="R74" s="508"/>
      <c r="S74" s="508"/>
      <c r="T74" s="508"/>
      <c r="U74" s="508"/>
      <c r="V74" s="508"/>
      <c r="W74" s="508"/>
      <c r="X74" s="508"/>
      <c r="Y74" s="509"/>
    </row>
    <row r="75" spans="1:25" ht="79.2" hidden="1" x14ac:dyDescent="0.25">
      <c r="A75" s="428" t="s">
        <v>762</v>
      </c>
      <c r="B75" s="415" t="s">
        <v>830</v>
      </c>
      <c r="C75" s="415" t="s">
        <v>810</v>
      </c>
      <c r="D75" s="416">
        <v>16185.3</v>
      </c>
      <c r="E75" s="416">
        <v>11355.1</v>
      </c>
      <c r="F75" s="416">
        <v>70.2</v>
      </c>
      <c r="G75" s="416">
        <v>0</v>
      </c>
      <c r="H75" s="416">
        <v>0</v>
      </c>
      <c r="I75" s="416">
        <v>16185.3</v>
      </c>
      <c r="J75" s="416">
        <v>11355.1</v>
      </c>
      <c r="K75" s="416">
        <v>0</v>
      </c>
      <c r="L75" s="416">
        <v>0</v>
      </c>
      <c r="M75" s="416">
        <v>0</v>
      </c>
      <c r="N75" s="416">
        <v>0</v>
      </c>
      <c r="O75" s="416">
        <v>11355.1</v>
      </c>
      <c r="P75" s="415" t="s">
        <v>827</v>
      </c>
      <c r="Q75" s="413" t="s">
        <v>831</v>
      </c>
      <c r="R75" s="413" t="s">
        <v>832</v>
      </c>
      <c r="S75" s="413" t="s">
        <v>833</v>
      </c>
      <c r="T75" s="413" t="s">
        <v>834</v>
      </c>
      <c r="U75" s="413" t="s">
        <v>835</v>
      </c>
      <c r="V75" s="413" t="s">
        <v>836</v>
      </c>
      <c r="W75" s="413"/>
      <c r="X75" s="413"/>
      <c r="Y75" s="429" t="s">
        <v>837</v>
      </c>
    </row>
    <row r="76" spans="1:25" hidden="1" x14ac:dyDescent="0.25">
      <c r="A76" s="499" t="s">
        <v>838</v>
      </c>
      <c r="B76" s="500"/>
      <c r="C76" s="500"/>
      <c r="D76" s="500"/>
      <c r="E76" s="500"/>
      <c r="F76" s="500"/>
      <c r="G76" s="500"/>
      <c r="H76" s="500"/>
      <c r="I76" s="500"/>
      <c r="J76" s="500"/>
      <c r="K76" s="500"/>
      <c r="L76" s="500"/>
      <c r="M76" s="500"/>
      <c r="N76" s="500"/>
      <c r="O76" s="500"/>
      <c r="P76" s="500"/>
      <c r="Q76" s="500"/>
      <c r="R76" s="500"/>
      <c r="S76" s="500"/>
      <c r="T76" s="500"/>
      <c r="U76" s="500"/>
      <c r="V76" s="500"/>
      <c r="W76" s="500"/>
      <c r="X76" s="500"/>
      <c r="Y76" s="501"/>
    </row>
    <row r="77" spans="1:25" hidden="1" x14ac:dyDescent="0.25">
      <c r="A77" s="513" t="s">
        <v>839</v>
      </c>
      <c r="B77" s="508"/>
      <c r="C77" s="508"/>
      <c r="D77" s="508"/>
      <c r="E77" s="508"/>
      <c r="F77" s="508"/>
      <c r="G77" s="508"/>
      <c r="H77" s="508"/>
      <c r="I77" s="508"/>
      <c r="J77" s="508"/>
      <c r="K77" s="508"/>
      <c r="L77" s="508"/>
      <c r="M77" s="508"/>
      <c r="N77" s="508"/>
      <c r="O77" s="508"/>
      <c r="P77" s="508"/>
      <c r="Q77" s="508"/>
      <c r="R77" s="508"/>
      <c r="S77" s="508"/>
      <c r="T77" s="508"/>
      <c r="U77" s="508"/>
      <c r="V77" s="508"/>
      <c r="W77" s="508"/>
      <c r="X77" s="508"/>
      <c r="Y77" s="509"/>
    </row>
    <row r="78" spans="1:25" ht="79.2" hidden="1" x14ac:dyDescent="0.25">
      <c r="A78" s="428" t="s">
        <v>840</v>
      </c>
      <c r="B78" s="415" t="s">
        <v>841</v>
      </c>
      <c r="C78" s="415" t="s">
        <v>842</v>
      </c>
      <c r="D78" s="416">
        <v>23116.400000000001</v>
      </c>
      <c r="E78" s="416">
        <v>14027.3</v>
      </c>
      <c r="F78" s="416">
        <v>60.7</v>
      </c>
      <c r="G78" s="416">
        <v>23116.400000000001</v>
      </c>
      <c r="H78" s="416">
        <v>14027.3</v>
      </c>
      <c r="I78" s="416">
        <v>0</v>
      </c>
      <c r="J78" s="416">
        <v>0</v>
      </c>
      <c r="K78" s="416">
        <v>0</v>
      </c>
      <c r="L78" s="416">
        <v>0</v>
      </c>
      <c r="M78" s="416">
        <v>0</v>
      </c>
      <c r="N78" s="416">
        <v>0</v>
      </c>
      <c r="O78" s="416">
        <v>14027.3</v>
      </c>
      <c r="P78" s="415" t="s">
        <v>827</v>
      </c>
      <c r="Q78" s="413" t="s">
        <v>217</v>
      </c>
      <c r="R78" s="413" t="s">
        <v>843</v>
      </c>
      <c r="S78" s="413" t="s">
        <v>844</v>
      </c>
      <c r="T78" s="413" t="s">
        <v>845</v>
      </c>
      <c r="U78" s="413" t="s">
        <v>846</v>
      </c>
      <c r="V78" s="413" t="s">
        <v>847</v>
      </c>
      <c r="W78" s="413"/>
      <c r="X78" s="413"/>
      <c r="Y78" s="429" t="s">
        <v>848</v>
      </c>
    </row>
    <row r="79" spans="1:25" ht="52.8" hidden="1" x14ac:dyDescent="0.25">
      <c r="A79" s="428" t="s">
        <v>840</v>
      </c>
      <c r="B79" s="415" t="s">
        <v>841</v>
      </c>
      <c r="C79" s="415"/>
      <c r="D79" s="416">
        <v>0</v>
      </c>
      <c r="E79" s="416">
        <v>0</v>
      </c>
      <c r="F79" s="416">
        <v>0</v>
      </c>
      <c r="G79" s="416">
        <v>0</v>
      </c>
      <c r="H79" s="416">
        <v>0</v>
      </c>
      <c r="I79" s="416">
        <v>0</v>
      </c>
      <c r="J79" s="416">
        <v>0</v>
      </c>
      <c r="K79" s="416">
        <v>0</v>
      </c>
      <c r="L79" s="416">
        <v>0</v>
      </c>
      <c r="M79" s="416">
        <v>0</v>
      </c>
      <c r="N79" s="416">
        <v>0</v>
      </c>
      <c r="O79" s="416">
        <v>0</v>
      </c>
      <c r="P79" s="415" t="s">
        <v>849</v>
      </c>
      <c r="Q79" s="413" t="s">
        <v>211</v>
      </c>
      <c r="R79" s="413" t="s">
        <v>211</v>
      </c>
      <c r="S79" s="413" t="s">
        <v>204</v>
      </c>
      <c r="T79" s="413" t="s">
        <v>204</v>
      </c>
      <c r="U79" s="413" t="s">
        <v>214</v>
      </c>
      <c r="V79" s="413" t="s">
        <v>212</v>
      </c>
      <c r="W79" s="413"/>
      <c r="X79" s="413"/>
      <c r="Y79" s="429" t="s">
        <v>850</v>
      </c>
    </row>
    <row r="80" spans="1:25" x14ac:dyDescent="0.25">
      <c r="A80" s="499" t="s">
        <v>851</v>
      </c>
      <c r="B80" s="500"/>
      <c r="C80" s="500"/>
      <c r="D80" s="500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500"/>
      <c r="W80" s="500"/>
      <c r="X80" s="500"/>
      <c r="Y80" s="501"/>
    </row>
    <row r="81" spans="1:25" x14ac:dyDescent="0.25">
      <c r="A81" s="513" t="s">
        <v>852</v>
      </c>
      <c r="B81" s="508"/>
      <c r="C81" s="508"/>
      <c r="D81" s="508"/>
      <c r="E81" s="508"/>
      <c r="F81" s="508"/>
      <c r="G81" s="508"/>
      <c r="H81" s="508"/>
      <c r="I81" s="508"/>
      <c r="J81" s="508"/>
      <c r="K81" s="508"/>
      <c r="L81" s="508"/>
      <c r="M81" s="508"/>
      <c r="N81" s="508"/>
      <c r="O81" s="508"/>
      <c r="P81" s="508"/>
      <c r="Q81" s="508"/>
      <c r="R81" s="508"/>
      <c r="S81" s="508"/>
      <c r="T81" s="508"/>
      <c r="U81" s="508"/>
      <c r="V81" s="508"/>
      <c r="W81" s="508"/>
      <c r="X81" s="508"/>
      <c r="Y81" s="509"/>
    </row>
    <row r="82" spans="1:25" ht="40.799999999999997" customHeight="1" x14ac:dyDescent="0.25">
      <c r="A82" s="433" t="s">
        <v>795</v>
      </c>
      <c r="B82" s="418" t="s">
        <v>853</v>
      </c>
      <c r="C82" s="418" t="s">
        <v>764</v>
      </c>
      <c r="D82" s="424">
        <v>340</v>
      </c>
      <c r="E82" s="424">
        <v>200</v>
      </c>
      <c r="F82" s="424">
        <v>58.8</v>
      </c>
      <c r="G82" s="424">
        <v>0</v>
      </c>
      <c r="H82" s="424">
        <v>0</v>
      </c>
      <c r="I82" s="424">
        <v>300</v>
      </c>
      <c r="J82" s="424">
        <v>200</v>
      </c>
      <c r="K82" s="424">
        <v>40</v>
      </c>
      <c r="L82" s="424">
        <v>0</v>
      </c>
      <c r="M82" s="424">
        <v>0</v>
      </c>
      <c r="N82" s="424">
        <v>0</v>
      </c>
      <c r="O82" s="424">
        <v>200</v>
      </c>
      <c r="P82" s="418" t="s">
        <v>854</v>
      </c>
      <c r="Q82" s="423"/>
      <c r="R82" s="423"/>
      <c r="S82" s="417"/>
      <c r="T82" s="417"/>
      <c r="U82" s="417" t="s">
        <v>855</v>
      </c>
      <c r="V82" s="417" t="s">
        <v>856</v>
      </c>
      <c r="W82" s="423"/>
      <c r="X82" s="423"/>
      <c r="Y82" s="427" t="s">
        <v>857</v>
      </c>
    </row>
    <row r="83" spans="1:25" hidden="1" x14ac:dyDescent="0.25">
      <c r="A83" s="513" t="s">
        <v>858</v>
      </c>
      <c r="B83" s="508"/>
      <c r="C83" s="508"/>
      <c r="D83" s="508"/>
      <c r="E83" s="508"/>
      <c r="F83" s="508"/>
      <c r="G83" s="508"/>
      <c r="H83" s="508"/>
      <c r="I83" s="508"/>
      <c r="J83" s="508"/>
      <c r="K83" s="508"/>
      <c r="L83" s="508"/>
      <c r="M83" s="508"/>
      <c r="N83" s="508"/>
      <c r="O83" s="508"/>
      <c r="P83" s="508"/>
      <c r="Q83" s="508"/>
      <c r="R83" s="508"/>
      <c r="S83" s="508"/>
      <c r="T83" s="508"/>
      <c r="U83" s="508"/>
      <c r="V83" s="508"/>
      <c r="W83" s="508"/>
      <c r="X83" s="508"/>
      <c r="Y83" s="509"/>
    </row>
    <row r="84" spans="1:25" ht="45" hidden="1" customHeight="1" x14ac:dyDescent="0.25">
      <c r="A84" s="425" t="s">
        <v>859</v>
      </c>
      <c r="B84" s="418" t="s">
        <v>860</v>
      </c>
      <c r="C84" s="418" t="s">
        <v>764</v>
      </c>
      <c r="D84" s="419">
        <v>1000</v>
      </c>
      <c r="E84" s="419">
        <v>1000</v>
      </c>
      <c r="F84" s="419">
        <v>100</v>
      </c>
      <c r="G84" s="419">
        <v>0</v>
      </c>
      <c r="H84" s="419">
        <v>0</v>
      </c>
      <c r="I84" s="419">
        <v>1000</v>
      </c>
      <c r="J84" s="419">
        <v>1000</v>
      </c>
      <c r="K84" s="419">
        <v>0</v>
      </c>
      <c r="L84" s="419">
        <v>0</v>
      </c>
      <c r="M84" s="419">
        <v>0</v>
      </c>
      <c r="N84" s="419">
        <v>0</v>
      </c>
      <c r="O84" s="419">
        <v>0</v>
      </c>
      <c r="P84" s="418" t="s">
        <v>861</v>
      </c>
      <c r="Q84" s="417"/>
      <c r="R84" s="417"/>
      <c r="S84" s="439" t="s">
        <v>16</v>
      </c>
      <c r="T84" s="439" t="s">
        <v>16</v>
      </c>
      <c r="U84" s="439" t="s">
        <v>16</v>
      </c>
      <c r="V84" s="439" t="s">
        <v>576</v>
      </c>
      <c r="W84" s="417"/>
      <c r="X84" s="417"/>
      <c r="Y84" s="427" t="s">
        <v>862</v>
      </c>
    </row>
    <row r="85" spans="1:25" x14ac:dyDescent="0.25">
      <c r="A85" s="499" t="s">
        <v>863</v>
      </c>
      <c r="B85" s="500"/>
      <c r="C85" s="500"/>
      <c r="D85" s="500"/>
      <c r="E85" s="500"/>
      <c r="F85" s="500"/>
      <c r="G85" s="500"/>
      <c r="H85" s="500"/>
      <c r="I85" s="500"/>
      <c r="J85" s="500"/>
      <c r="K85" s="500"/>
      <c r="L85" s="500"/>
      <c r="M85" s="500"/>
      <c r="N85" s="500"/>
      <c r="O85" s="500"/>
      <c r="P85" s="500"/>
      <c r="Q85" s="500"/>
      <c r="R85" s="500"/>
      <c r="S85" s="500"/>
      <c r="T85" s="500"/>
      <c r="U85" s="500"/>
      <c r="V85" s="500"/>
      <c r="W85" s="500"/>
      <c r="X85" s="500"/>
      <c r="Y85" s="501"/>
    </row>
    <row r="86" spans="1:25" x14ac:dyDescent="0.25">
      <c r="A86" s="513" t="s">
        <v>864</v>
      </c>
      <c r="B86" s="508"/>
      <c r="C86" s="508"/>
      <c r="D86" s="508"/>
      <c r="E86" s="508"/>
      <c r="F86" s="508"/>
      <c r="G86" s="508"/>
      <c r="H86" s="508"/>
      <c r="I86" s="508"/>
      <c r="J86" s="508"/>
      <c r="K86" s="508"/>
      <c r="L86" s="508"/>
      <c r="M86" s="508"/>
      <c r="N86" s="508"/>
      <c r="O86" s="508"/>
      <c r="P86" s="508"/>
      <c r="Q86" s="508"/>
      <c r="R86" s="508"/>
      <c r="S86" s="508"/>
      <c r="T86" s="508"/>
      <c r="U86" s="508"/>
      <c r="V86" s="508"/>
      <c r="W86" s="508"/>
      <c r="X86" s="508"/>
      <c r="Y86" s="509"/>
    </row>
    <row r="87" spans="1:25" ht="67.8" customHeight="1" x14ac:dyDescent="0.25">
      <c r="A87" s="433" t="s">
        <v>762</v>
      </c>
      <c r="B87" s="418" t="s">
        <v>865</v>
      </c>
      <c r="C87" s="418" t="s">
        <v>866</v>
      </c>
      <c r="D87" s="419">
        <v>0</v>
      </c>
      <c r="E87" s="419">
        <v>0</v>
      </c>
      <c r="F87" s="419">
        <v>0</v>
      </c>
      <c r="G87" s="419">
        <v>0</v>
      </c>
      <c r="H87" s="419">
        <v>0</v>
      </c>
      <c r="I87" s="419">
        <v>0</v>
      </c>
      <c r="J87" s="419">
        <v>0</v>
      </c>
      <c r="K87" s="419">
        <v>0</v>
      </c>
      <c r="L87" s="419">
        <v>0</v>
      </c>
      <c r="M87" s="419">
        <v>0</v>
      </c>
      <c r="N87" s="419">
        <v>0</v>
      </c>
      <c r="O87" s="419">
        <v>0</v>
      </c>
      <c r="P87" s="418" t="s">
        <v>867</v>
      </c>
      <c r="Q87" s="418"/>
      <c r="R87" s="418"/>
      <c r="S87" s="421" t="s">
        <v>868</v>
      </c>
      <c r="T87" s="421" t="s">
        <v>107</v>
      </c>
      <c r="U87" s="417" t="s">
        <v>107</v>
      </c>
      <c r="V87" s="417" t="s">
        <v>107</v>
      </c>
      <c r="W87" s="423"/>
      <c r="X87" s="423"/>
      <c r="Y87" s="427" t="s">
        <v>869</v>
      </c>
    </row>
    <row r="88" spans="1:25" x14ac:dyDescent="0.25">
      <c r="A88" s="513" t="s">
        <v>870</v>
      </c>
      <c r="B88" s="508"/>
      <c r="C88" s="508"/>
      <c r="D88" s="508"/>
      <c r="E88" s="508"/>
      <c r="F88" s="508"/>
      <c r="G88" s="508"/>
      <c r="H88" s="508"/>
      <c r="I88" s="508"/>
      <c r="J88" s="508"/>
      <c r="K88" s="508"/>
      <c r="L88" s="508"/>
      <c r="M88" s="508"/>
      <c r="N88" s="508"/>
      <c r="O88" s="508"/>
      <c r="P88" s="508"/>
      <c r="Q88" s="508"/>
      <c r="R88" s="508"/>
      <c r="S88" s="508"/>
      <c r="T88" s="508"/>
      <c r="U88" s="508"/>
      <c r="V88" s="508"/>
      <c r="W88" s="508"/>
      <c r="X88" s="508"/>
      <c r="Y88" s="429"/>
    </row>
    <row r="89" spans="1:25" ht="66" x14ac:dyDescent="0.25">
      <c r="A89" s="425" t="s">
        <v>871</v>
      </c>
      <c r="B89" s="418" t="s">
        <v>872</v>
      </c>
      <c r="C89" s="418" t="s">
        <v>873</v>
      </c>
      <c r="D89" s="419">
        <v>300</v>
      </c>
      <c r="E89" s="419">
        <v>225</v>
      </c>
      <c r="F89" s="419">
        <v>75</v>
      </c>
      <c r="G89" s="419">
        <v>0</v>
      </c>
      <c r="H89" s="419">
        <v>0</v>
      </c>
      <c r="I89" s="419">
        <v>300</v>
      </c>
      <c r="J89" s="419">
        <v>225</v>
      </c>
      <c r="K89" s="419">
        <v>0</v>
      </c>
      <c r="L89" s="419">
        <v>0</v>
      </c>
      <c r="M89" s="419">
        <v>0</v>
      </c>
      <c r="N89" s="419">
        <v>0</v>
      </c>
      <c r="O89" s="419">
        <v>225</v>
      </c>
      <c r="P89" s="418" t="s">
        <v>874</v>
      </c>
      <c r="Q89" s="417" t="s">
        <v>875</v>
      </c>
      <c r="R89" s="417" t="s">
        <v>876</v>
      </c>
      <c r="S89" s="417" t="s">
        <v>877</v>
      </c>
      <c r="T89" s="417" t="s">
        <v>878</v>
      </c>
      <c r="U89" s="417" t="s">
        <v>669</v>
      </c>
      <c r="V89" s="417" t="s">
        <v>879</v>
      </c>
      <c r="W89" s="417"/>
      <c r="X89" s="417"/>
      <c r="Y89" s="427" t="s">
        <v>880</v>
      </c>
    </row>
    <row r="90" spans="1:25" ht="92.4" hidden="1" x14ac:dyDescent="0.25">
      <c r="A90" s="425" t="s">
        <v>881</v>
      </c>
      <c r="B90" s="418" t="s">
        <v>882</v>
      </c>
      <c r="C90" s="418" t="s">
        <v>764</v>
      </c>
      <c r="D90" s="419">
        <v>1534.6</v>
      </c>
      <c r="E90" s="419">
        <v>1110.8</v>
      </c>
      <c r="F90" s="419">
        <v>72.400000000000006</v>
      </c>
      <c r="G90" s="419">
        <v>690</v>
      </c>
      <c r="H90" s="419">
        <v>456</v>
      </c>
      <c r="I90" s="419">
        <v>844.6</v>
      </c>
      <c r="J90" s="419">
        <v>654.79999999999995</v>
      </c>
      <c r="K90" s="419">
        <v>0</v>
      </c>
      <c r="L90" s="419">
        <v>0</v>
      </c>
      <c r="M90" s="419">
        <v>0</v>
      </c>
      <c r="N90" s="419">
        <v>0</v>
      </c>
      <c r="O90" s="419">
        <v>0</v>
      </c>
      <c r="P90" s="418" t="s">
        <v>883</v>
      </c>
      <c r="Q90" s="417" t="s">
        <v>605</v>
      </c>
      <c r="R90" s="417" t="s">
        <v>884</v>
      </c>
      <c r="S90" s="417" t="s">
        <v>885</v>
      </c>
      <c r="T90" s="417" t="s">
        <v>886</v>
      </c>
      <c r="U90" s="417" t="s">
        <v>887</v>
      </c>
      <c r="V90" s="417" t="s">
        <v>888</v>
      </c>
      <c r="W90" s="417"/>
      <c r="X90" s="417"/>
      <c r="Y90" s="431" t="s">
        <v>30</v>
      </c>
    </row>
    <row r="91" spans="1:25" ht="65.25" customHeight="1" x14ac:dyDescent="0.25">
      <c r="A91" s="425" t="s">
        <v>889</v>
      </c>
      <c r="B91" s="418" t="s">
        <v>890</v>
      </c>
      <c r="C91" s="418" t="s">
        <v>764</v>
      </c>
      <c r="D91" s="419">
        <v>255</v>
      </c>
      <c r="E91" s="419">
        <v>187.9</v>
      </c>
      <c r="F91" s="419">
        <v>73.7</v>
      </c>
      <c r="G91" s="419">
        <v>135</v>
      </c>
      <c r="H91" s="419">
        <v>94</v>
      </c>
      <c r="I91" s="419">
        <v>120</v>
      </c>
      <c r="J91" s="419">
        <v>93.9</v>
      </c>
      <c r="K91" s="419">
        <v>0</v>
      </c>
      <c r="L91" s="419">
        <v>0</v>
      </c>
      <c r="M91" s="419">
        <v>0</v>
      </c>
      <c r="N91" s="419">
        <v>0</v>
      </c>
      <c r="O91" s="419">
        <v>82.6</v>
      </c>
      <c r="P91" s="418" t="s">
        <v>891</v>
      </c>
      <c r="Q91" s="417" t="s">
        <v>211</v>
      </c>
      <c r="R91" s="417" t="s">
        <v>17</v>
      </c>
      <c r="S91" s="417" t="s">
        <v>213</v>
      </c>
      <c r="T91" s="417" t="s">
        <v>213</v>
      </c>
      <c r="U91" s="417" t="s">
        <v>793</v>
      </c>
      <c r="V91" s="417" t="s">
        <v>216</v>
      </c>
      <c r="W91" s="417"/>
      <c r="X91" s="417"/>
      <c r="Y91" s="427" t="s">
        <v>892</v>
      </c>
    </row>
    <row r="92" spans="1:25" ht="78.75" customHeight="1" x14ac:dyDescent="0.25">
      <c r="A92" s="425" t="s">
        <v>893</v>
      </c>
      <c r="B92" s="418" t="s">
        <v>894</v>
      </c>
      <c r="C92" s="418" t="s">
        <v>764</v>
      </c>
      <c r="D92" s="419">
        <v>85</v>
      </c>
      <c r="E92" s="419">
        <v>0</v>
      </c>
      <c r="F92" s="419">
        <v>0</v>
      </c>
      <c r="G92" s="419">
        <v>35</v>
      </c>
      <c r="H92" s="419">
        <v>0</v>
      </c>
      <c r="I92" s="419">
        <v>50</v>
      </c>
      <c r="J92" s="419">
        <v>0</v>
      </c>
      <c r="K92" s="419">
        <v>0</v>
      </c>
      <c r="L92" s="419">
        <v>0</v>
      </c>
      <c r="M92" s="419">
        <v>0</v>
      </c>
      <c r="N92" s="419">
        <v>0</v>
      </c>
      <c r="O92" s="419">
        <v>0</v>
      </c>
      <c r="P92" s="418" t="s">
        <v>895</v>
      </c>
      <c r="Q92" s="417"/>
      <c r="R92" s="417"/>
      <c r="S92" s="417" t="s">
        <v>204</v>
      </c>
      <c r="T92" s="417" t="s">
        <v>576</v>
      </c>
      <c r="U92" s="417" t="s">
        <v>605</v>
      </c>
      <c r="V92" s="417" t="s">
        <v>19</v>
      </c>
      <c r="W92" s="417"/>
      <c r="X92" s="417"/>
      <c r="Y92" s="514" t="s">
        <v>896</v>
      </c>
    </row>
    <row r="93" spans="1:25" ht="79.2" x14ac:dyDescent="0.25">
      <c r="A93" s="425" t="s">
        <v>893</v>
      </c>
      <c r="B93" s="418" t="s">
        <v>894</v>
      </c>
      <c r="C93" s="418"/>
      <c r="D93" s="419">
        <v>0</v>
      </c>
      <c r="E93" s="419">
        <v>0</v>
      </c>
      <c r="F93" s="419">
        <v>0</v>
      </c>
      <c r="G93" s="419">
        <v>0</v>
      </c>
      <c r="H93" s="419">
        <v>0</v>
      </c>
      <c r="I93" s="419">
        <v>0</v>
      </c>
      <c r="J93" s="419">
        <v>0</v>
      </c>
      <c r="K93" s="419">
        <v>0</v>
      </c>
      <c r="L93" s="419">
        <v>0</v>
      </c>
      <c r="M93" s="419">
        <v>0</v>
      </c>
      <c r="N93" s="419">
        <v>0</v>
      </c>
      <c r="O93" s="419">
        <v>0</v>
      </c>
      <c r="P93" s="418" t="s">
        <v>897</v>
      </c>
      <c r="Q93" s="417"/>
      <c r="R93" s="417"/>
      <c r="S93" s="417" t="s">
        <v>206</v>
      </c>
      <c r="T93" s="417" t="s">
        <v>576</v>
      </c>
      <c r="U93" s="417" t="s">
        <v>591</v>
      </c>
      <c r="V93" s="417" t="s">
        <v>19</v>
      </c>
      <c r="W93" s="417"/>
      <c r="X93" s="417"/>
      <c r="Y93" s="514"/>
    </row>
    <row r="94" spans="1:25" x14ac:dyDescent="0.25">
      <c r="A94" s="513" t="s">
        <v>898</v>
      </c>
      <c r="B94" s="508"/>
      <c r="C94" s="508"/>
      <c r="D94" s="508"/>
      <c r="E94" s="508"/>
      <c r="F94" s="508"/>
      <c r="G94" s="508"/>
      <c r="H94" s="508"/>
      <c r="I94" s="508"/>
      <c r="J94" s="508"/>
      <c r="K94" s="508"/>
      <c r="L94" s="508"/>
      <c r="M94" s="508"/>
      <c r="N94" s="508"/>
      <c r="O94" s="508"/>
      <c r="P94" s="508"/>
      <c r="Q94" s="508"/>
      <c r="R94" s="508"/>
      <c r="S94" s="508"/>
      <c r="T94" s="508"/>
      <c r="U94" s="508"/>
      <c r="V94" s="508"/>
      <c r="W94" s="508"/>
      <c r="X94" s="508"/>
      <c r="Y94" s="509"/>
    </row>
    <row r="95" spans="1:25" ht="58.5" customHeight="1" x14ac:dyDescent="0.25">
      <c r="A95" s="425" t="s">
        <v>899</v>
      </c>
      <c r="B95" s="418" t="s">
        <v>900</v>
      </c>
      <c r="C95" s="418"/>
      <c r="D95" s="419">
        <v>0</v>
      </c>
      <c r="E95" s="419">
        <v>0</v>
      </c>
      <c r="F95" s="419">
        <v>0</v>
      </c>
      <c r="G95" s="419">
        <v>0</v>
      </c>
      <c r="H95" s="419">
        <v>0</v>
      </c>
      <c r="I95" s="419">
        <v>0</v>
      </c>
      <c r="J95" s="419">
        <v>0</v>
      </c>
      <c r="K95" s="419">
        <v>0</v>
      </c>
      <c r="L95" s="419">
        <v>0</v>
      </c>
      <c r="M95" s="419">
        <v>0</v>
      </c>
      <c r="N95" s="419">
        <v>0</v>
      </c>
      <c r="O95" s="419">
        <v>0</v>
      </c>
      <c r="P95" s="418" t="s">
        <v>901</v>
      </c>
      <c r="Q95" s="417"/>
      <c r="R95" s="417"/>
      <c r="S95" s="417"/>
      <c r="T95" s="417"/>
      <c r="U95" s="439" t="s">
        <v>624</v>
      </c>
      <c r="V95" s="417" t="s">
        <v>107</v>
      </c>
      <c r="W95" s="417"/>
      <c r="X95" s="417"/>
      <c r="Y95" s="514" t="s">
        <v>902</v>
      </c>
    </row>
    <row r="96" spans="1:25" ht="60.6" customHeight="1" x14ac:dyDescent="0.25">
      <c r="A96" s="425" t="s">
        <v>899</v>
      </c>
      <c r="B96" s="418" t="s">
        <v>900</v>
      </c>
      <c r="C96" s="418"/>
      <c r="D96" s="419">
        <v>0</v>
      </c>
      <c r="E96" s="419">
        <v>0</v>
      </c>
      <c r="F96" s="419">
        <v>0</v>
      </c>
      <c r="G96" s="419">
        <v>0</v>
      </c>
      <c r="H96" s="419">
        <v>0</v>
      </c>
      <c r="I96" s="419">
        <v>0</v>
      </c>
      <c r="J96" s="419">
        <v>0</v>
      </c>
      <c r="K96" s="419">
        <v>0</v>
      </c>
      <c r="L96" s="419">
        <v>0</v>
      </c>
      <c r="M96" s="419">
        <v>0</v>
      </c>
      <c r="N96" s="419">
        <v>0</v>
      </c>
      <c r="O96" s="419">
        <v>0</v>
      </c>
      <c r="P96" s="418" t="s">
        <v>903</v>
      </c>
      <c r="Q96" s="417"/>
      <c r="R96" s="417"/>
      <c r="S96" s="417"/>
      <c r="T96" s="417"/>
      <c r="U96" s="439" t="s">
        <v>624</v>
      </c>
      <c r="V96" s="417" t="s">
        <v>107</v>
      </c>
      <c r="W96" s="417"/>
      <c r="X96" s="417"/>
      <c r="Y96" s="514"/>
    </row>
    <row r="97" spans="1:26" hidden="1" x14ac:dyDescent="0.25">
      <c r="A97" s="513" t="s">
        <v>904</v>
      </c>
      <c r="B97" s="508"/>
      <c r="C97" s="508"/>
      <c r="D97" s="508"/>
      <c r="E97" s="508"/>
      <c r="F97" s="508"/>
      <c r="G97" s="508"/>
      <c r="H97" s="508"/>
      <c r="I97" s="508"/>
      <c r="J97" s="508"/>
      <c r="K97" s="508"/>
      <c r="L97" s="508"/>
      <c r="M97" s="508"/>
      <c r="N97" s="508"/>
      <c r="O97" s="508"/>
      <c r="P97" s="508"/>
      <c r="Q97" s="508"/>
      <c r="R97" s="508"/>
      <c r="S97" s="508"/>
      <c r="T97" s="508"/>
      <c r="U97" s="508"/>
      <c r="V97" s="508"/>
      <c r="W97" s="508"/>
      <c r="X97" s="508"/>
      <c r="Y97" s="509"/>
    </row>
    <row r="98" spans="1:26" ht="26.4" hidden="1" x14ac:dyDescent="0.25">
      <c r="A98" s="428" t="s">
        <v>840</v>
      </c>
      <c r="B98" s="415" t="s">
        <v>905</v>
      </c>
      <c r="C98" s="415" t="s">
        <v>906</v>
      </c>
      <c r="D98" s="416">
        <v>40784.9</v>
      </c>
      <c r="E98" s="416">
        <v>28142.6</v>
      </c>
      <c r="F98" s="416">
        <v>69</v>
      </c>
      <c r="G98" s="416">
        <v>0</v>
      </c>
      <c r="H98" s="416">
        <v>0</v>
      </c>
      <c r="I98" s="416">
        <v>40784.9</v>
      </c>
      <c r="J98" s="416">
        <v>28142.6</v>
      </c>
      <c r="K98" s="416">
        <v>0</v>
      </c>
      <c r="L98" s="416">
        <v>0</v>
      </c>
      <c r="M98" s="416">
        <v>0</v>
      </c>
      <c r="N98" s="416">
        <v>0</v>
      </c>
      <c r="O98" s="416">
        <v>28142.6</v>
      </c>
      <c r="P98" s="415" t="s">
        <v>907</v>
      </c>
      <c r="Q98" s="413" t="s">
        <v>591</v>
      </c>
      <c r="R98" s="413" t="s">
        <v>908</v>
      </c>
      <c r="S98" s="413" t="s">
        <v>593</v>
      </c>
      <c r="T98" s="413" t="s">
        <v>909</v>
      </c>
      <c r="U98" s="413" t="s">
        <v>595</v>
      </c>
      <c r="V98" s="413" t="s">
        <v>910</v>
      </c>
      <c r="W98" s="413"/>
      <c r="X98" s="413"/>
      <c r="Y98" s="429" t="s">
        <v>911</v>
      </c>
    </row>
    <row r="99" spans="1:26" x14ac:dyDescent="0.25">
      <c r="A99" s="499" t="s">
        <v>912</v>
      </c>
      <c r="B99" s="500"/>
      <c r="C99" s="500"/>
      <c r="D99" s="500"/>
      <c r="E99" s="500"/>
      <c r="F99" s="500"/>
      <c r="G99" s="500"/>
      <c r="H99" s="500"/>
      <c r="I99" s="500"/>
      <c r="J99" s="500"/>
      <c r="K99" s="500"/>
      <c r="L99" s="500"/>
      <c r="M99" s="500"/>
      <c r="N99" s="500"/>
      <c r="O99" s="500"/>
      <c r="P99" s="500"/>
      <c r="Q99" s="500"/>
      <c r="R99" s="500"/>
      <c r="S99" s="500"/>
      <c r="T99" s="500"/>
      <c r="U99" s="500"/>
      <c r="V99" s="500"/>
      <c r="W99" s="500"/>
      <c r="X99" s="500"/>
      <c r="Y99" s="501"/>
    </row>
    <row r="100" spans="1:26" x14ac:dyDescent="0.25">
      <c r="A100" s="513" t="s">
        <v>913</v>
      </c>
      <c r="B100" s="508"/>
      <c r="C100" s="508"/>
      <c r="D100" s="508"/>
      <c r="E100" s="508"/>
      <c r="F100" s="508"/>
      <c r="G100" s="508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9"/>
    </row>
    <row r="101" spans="1:26" ht="105.6" x14ac:dyDescent="0.25">
      <c r="A101" s="425" t="s">
        <v>762</v>
      </c>
      <c r="B101" s="423" t="s">
        <v>914</v>
      </c>
      <c r="C101" s="418"/>
      <c r="D101" s="419">
        <v>0</v>
      </c>
      <c r="E101" s="419">
        <v>0</v>
      </c>
      <c r="F101" s="419">
        <v>0</v>
      </c>
      <c r="G101" s="419">
        <v>0</v>
      </c>
      <c r="H101" s="419">
        <v>0</v>
      </c>
      <c r="I101" s="419">
        <v>0</v>
      </c>
      <c r="J101" s="419">
        <v>0</v>
      </c>
      <c r="K101" s="419">
        <v>0</v>
      </c>
      <c r="L101" s="419">
        <v>0</v>
      </c>
      <c r="M101" s="419">
        <v>0</v>
      </c>
      <c r="N101" s="419">
        <v>0</v>
      </c>
      <c r="O101" s="419">
        <v>0</v>
      </c>
      <c r="P101" s="418" t="s">
        <v>915</v>
      </c>
      <c r="Q101" s="417"/>
      <c r="R101" s="417"/>
      <c r="S101" s="417"/>
      <c r="T101" s="417"/>
      <c r="U101" s="417" t="s">
        <v>916</v>
      </c>
      <c r="V101" s="417" t="s">
        <v>917</v>
      </c>
      <c r="W101" s="417"/>
      <c r="X101" s="417"/>
      <c r="Y101" s="427" t="s">
        <v>918</v>
      </c>
    </row>
    <row r="102" spans="1:26" ht="52.8" hidden="1" x14ac:dyDescent="0.25">
      <c r="A102" s="428" t="s">
        <v>746</v>
      </c>
      <c r="B102" s="413" t="s">
        <v>919</v>
      </c>
      <c r="C102" s="415"/>
      <c r="D102" s="416">
        <v>0</v>
      </c>
      <c r="E102" s="416">
        <v>0</v>
      </c>
      <c r="F102" s="416">
        <v>0</v>
      </c>
      <c r="G102" s="416">
        <v>0</v>
      </c>
      <c r="H102" s="416">
        <v>0</v>
      </c>
      <c r="I102" s="416">
        <v>0</v>
      </c>
      <c r="J102" s="416">
        <v>0</v>
      </c>
      <c r="K102" s="416">
        <v>0</v>
      </c>
      <c r="L102" s="416">
        <v>0</v>
      </c>
      <c r="M102" s="416">
        <v>0</v>
      </c>
      <c r="N102" s="416">
        <v>0</v>
      </c>
      <c r="O102" s="416">
        <v>0</v>
      </c>
      <c r="P102" s="415" t="s">
        <v>920</v>
      </c>
      <c r="Q102" s="413"/>
      <c r="R102" s="413"/>
      <c r="S102" s="413"/>
      <c r="T102" s="413"/>
      <c r="U102" s="413" t="s">
        <v>921</v>
      </c>
      <c r="V102" s="413" t="s">
        <v>922</v>
      </c>
      <c r="W102" s="413"/>
      <c r="X102" s="413"/>
      <c r="Y102" s="432" t="s">
        <v>30</v>
      </c>
    </row>
    <row r="103" spans="1:26" x14ac:dyDescent="0.25">
      <c r="A103" s="513" t="s">
        <v>923</v>
      </c>
      <c r="B103" s="508"/>
      <c r="C103" s="508"/>
      <c r="D103" s="508"/>
      <c r="E103" s="508"/>
      <c r="F103" s="508"/>
      <c r="G103" s="508"/>
      <c r="H103" s="508"/>
      <c r="I103" s="508"/>
      <c r="J103" s="508"/>
      <c r="K103" s="508"/>
      <c r="L103" s="508"/>
      <c r="M103" s="508"/>
      <c r="N103" s="508"/>
      <c r="O103" s="508"/>
      <c r="P103" s="508"/>
      <c r="Q103" s="508"/>
      <c r="R103" s="508"/>
      <c r="S103" s="508"/>
      <c r="T103" s="508"/>
      <c r="U103" s="508"/>
      <c r="V103" s="508"/>
      <c r="W103" s="508"/>
      <c r="X103" s="508"/>
      <c r="Y103" s="509"/>
    </row>
    <row r="104" spans="1:26" ht="66" x14ac:dyDescent="0.25">
      <c r="A104" s="425" t="s">
        <v>762</v>
      </c>
      <c r="B104" s="418" t="s">
        <v>924</v>
      </c>
      <c r="C104" s="418"/>
      <c r="D104" s="419">
        <v>0</v>
      </c>
      <c r="E104" s="419">
        <v>0</v>
      </c>
      <c r="F104" s="419">
        <v>0</v>
      </c>
      <c r="G104" s="419">
        <v>0</v>
      </c>
      <c r="H104" s="419">
        <v>0</v>
      </c>
      <c r="I104" s="419">
        <v>0</v>
      </c>
      <c r="J104" s="419">
        <v>0</v>
      </c>
      <c r="K104" s="419">
        <v>0</v>
      </c>
      <c r="L104" s="419">
        <v>0</v>
      </c>
      <c r="M104" s="419">
        <v>0</v>
      </c>
      <c r="N104" s="419">
        <v>0</v>
      </c>
      <c r="O104" s="419">
        <v>0</v>
      </c>
      <c r="P104" s="418" t="s">
        <v>925</v>
      </c>
      <c r="Q104" s="417"/>
      <c r="R104" s="417"/>
      <c r="S104" s="417" t="s">
        <v>926</v>
      </c>
      <c r="T104" s="417" t="s">
        <v>927</v>
      </c>
      <c r="U104" s="417" t="s">
        <v>928</v>
      </c>
      <c r="V104" s="417" t="s">
        <v>929</v>
      </c>
      <c r="W104" s="417"/>
      <c r="X104" s="417"/>
      <c r="Y104" s="427" t="s">
        <v>930</v>
      </c>
      <c r="Z104" s="406"/>
    </row>
    <row r="105" spans="1:26" x14ac:dyDescent="0.25">
      <c r="A105" s="513" t="s">
        <v>931</v>
      </c>
      <c r="B105" s="508"/>
      <c r="C105" s="508"/>
      <c r="D105" s="508"/>
      <c r="E105" s="508"/>
      <c r="F105" s="508"/>
      <c r="G105" s="508"/>
      <c r="H105" s="508"/>
      <c r="I105" s="508"/>
      <c r="J105" s="508"/>
      <c r="K105" s="508"/>
      <c r="L105" s="508"/>
      <c r="M105" s="508"/>
      <c r="N105" s="508"/>
      <c r="O105" s="508"/>
      <c r="P105" s="508"/>
      <c r="Q105" s="508"/>
      <c r="R105" s="508"/>
      <c r="S105" s="508"/>
      <c r="T105" s="508"/>
      <c r="U105" s="508"/>
      <c r="V105" s="508"/>
      <c r="W105" s="508"/>
      <c r="X105" s="508"/>
      <c r="Y105" s="509"/>
    </row>
    <row r="106" spans="1:26" ht="39.6" x14ac:dyDescent="0.25">
      <c r="A106" s="425" t="s">
        <v>932</v>
      </c>
      <c r="B106" s="418" t="s">
        <v>933</v>
      </c>
      <c r="C106" s="418"/>
      <c r="D106" s="419">
        <v>0</v>
      </c>
      <c r="E106" s="419">
        <v>0</v>
      </c>
      <c r="F106" s="419">
        <v>0</v>
      </c>
      <c r="G106" s="419">
        <v>0</v>
      </c>
      <c r="H106" s="419">
        <v>0</v>
      </c>
      <c r="I106" s="419">
        <v>0</v>
      </c>
      <c r="J106" s="419">
        <v>0</v>
      </c>
      <c r="K106" s="419">
        <v>0</v>
      </c>
      <c r="L106" s="419">
        <v>0</v>
      </c>
      <c r="M106" s="419">
        <v>0</v>
      </c>
      <c r="N106" s="419">
        <v>0</v>
      </c>
      <c r="O106" s="419">
        <v>0</v>
      </c>
      <c r="P106" s="418" t="s">
        <v>934</v>
      </c>
      <c r="Q106" s="417"/>
      <c r="R106" s="417"/>
      <c r="S106" s="417"/>
      <c r="T106" s="417" t="s">
        <v>214</v>
      </c>
      <c r="U106" s="417" t="s">
        <v>935</v>
      </c>
      <c r="V106" s="417" t="s">
        <v>936</v>
      </c>
      <c r="W106" s="417"/>
      <c r="X106" s="417"/>
      <c r="Y106" s="514" t="s">
        <v>937</v>
      </c>
    </row>
    <row r="107" spans="1:26" ht="26.4" x14ac:dyDescent="0.25">
      <c r="A107" s="425" t="s">
        <v>932</v>
      </c>
      <c r="B107" s="418" t="s">
        <v>933</v>
      </c>
      <c r="C107" s="418"/>
      <c r="D107" s="419">
        <v>0</v>
      </c>
      <c r="E107" s="419">
        <v>0</v>
      </c>
      <c r="F107" s="419">
        <v>0</v>
      </c>
      <c r="G107" s="419">
        <v>0</v>
      </c>
      <c r="H107" s="419">
        <v>0</v>
      </c>
      <c r="I107" s="419">
        <v>0</v>
      </c>
      <c r="J107" s="419">
        <v>0</v>
      </c>
      <c r="K107" s="419">
        <v>0</v>
      </c>
      <c r="L107" s="419">
        <v>0</v>
      </c>
      <c r="M107" s="419">
        <v>0</v>
      </c>
      <c r="N107" s="419">
        <v>0</v>
      </c>
      <c r="O107" s="419">
        <v>0</v>
      </c>
      <c r="P107" s="418" t="s">
        <v>938</v>
      </c>
      <c r="Q107" s="417"/>
      <c r="R107" s="417" t="s">
        <v>939</v>
      </c>
      <c r="S107" s="417" t="s">
        <v>940</v>
      </c>
      <c r="T107" s="417" t="s">
        <v>939</v>
      </c>
      <c r="U107" s="417" t="s">
        <v>941</v>
      </c>
      <c r="V107" s="417" t="s">
        <v>942</v>
      </c>
      <c r="W107" s="417"/>
      <c r="X107" s="417"/>
      <c r="Y107" s="514"/>
    </row>
    <row r="108" spans="1:26" hidden="1" x14ac:dyDescent="0.25">
      <c r="A108" s="513" t="s">
        <v>943</v>
      </c>
      <c r="B108" s="508"/>
      <c r="C108" s="508"/>
      <c r="D108" s="508"/>
      <c r="E108" s="508"/>
      <c r="F108" s="508"/>
      <c r="G108" s="508"/>
      <c r="H108" s="508"/>
      <c r="I108" s="508"/>
      <c r="J108" s="508"/>
      <c r="K108" s="508"/>
      <c r="L108" s="508"/>
      <c r="M108" s="508"/>
      <c r="N108" s="508"/>
      <c r="O108" s="508"/>
      <c r="P108" s="508"/>
      <c r="Q108" s="508"/>
      <c r="R108" s="508"/>
      <c r="S108" s="508"/>
      <c r="T108" s="508"/>
      <c r="U108" s="508"/>
      <c r="V108" s="508"/>
      <c r="W108" s="508"/>
      <c r="X108" s="508"/>
      <c r="Y108" s="509"/>
    </row>
    <row r="109" spans="1:26" ht="171.6" hidden="1" x14ac:dyDescent="0.25">
      <c r="A109" s="428" t="s">
        <v>647</v>
      </c>
      <c r="B109" s="415" t="s">
        <v>944</v>
      </c>
      <c r="C109" s="415"/>
      <c r="D109" s="416">
        <v>152018.1</v>
      </c>
      <c r="E109" s="416">
        <v>99653.2</v>
      </c>
      <c r="F109" s="416">
        <v>65.599999999999994</v>
      </c>
      <c r="G109" s="416">
        <v>98230.399999999994</v>
      </c>
      <c r="H109" s="416">
        <v>61964.9</v>
      </c>
      <c r="I109" s="416">
        <v>53787.7</v>
      </c>
      <c r="J109" s="416">
        <v>37688.300000000003</v>
      </c>
      <c r="K109" s="416">
        <v>0</v>
      </c>
      <c r="L109" s="416">
        <v>0</v>
      </c>
      <c r="M109" s="416">
        <v>0</v>
      </c>
      <c r="N109" s="416">
        <v>0</v>
      </c>
      <c r="O109" s="416">
        <v>99653.2</v>
      </c>
      <c r="P109" s="415" t="s">
        <v>945</v>
      </c>
      <c r="Q109" s="413" t="s">
        <v>946</v>
      </c>
      <c r="R109" s="413" t="s">
        <v>215</v>
      </c>
      <c r="S109" s="413" t="s">
        <v>947</v>
      </c>
      <c r="T109" s="413" t="s">
        <v>948</v>
      </c>
      <c r="U109" s="413" t="s">
        <v>949</v>
      </c>
      <c r="V109" s="413" t="s">
        <v>950</v>
      </c>
      <c r="W109" s="413"/>
      <c r="X109" s="413"/>
      <c r="Y109" s="429" t="s">
        <v>951</v>
      </c>
    </row>
    <row r="110" spans="1:26" ht="303.60000000000002" hidden="1" x14ac:dyDescent="0.25">
      <c r="A110" s="428" t="s">
        <v>754</v>
      </c>
      <c r="B110" s="415" t="s">
        <v>952</v>
      </c>
      <c r="C110" s="415"/>
      <c r="D110" s="416">
        <v>387497.1</v>
      </c>
      <c r="E110" s="416">
        <v>257603.1</v>
      </c>
      <c r="F110" s="416">
        <v>66.5</v>
      </c>
      <c r="G110" s="416">
        <v>293794.8</v>
      </c>
      <c r="H110" s="416">
        <v>195908.3</v>
      </c>
      <c r="I110" s="416">
        <v>93702.3</v>
      </c>
      <c r="J110" s="416">
        <v>61694.8</v>
      </c>
      <c r="K110" s="416">
        <v>0</v>
      </c>
      <c r="L110" s="416">
        <v>0</v>
      </c>
      <c r="M110" s="416">
        <v>0</v>
      </c>
      <c r="N110" s="416">
        <v>0</v>
      </c>
      <c r="O110" s="416">
        <v>257603.1</v>
      </c>
      <c r="P110" s="415" t="s">
        <v>945</v>
      </c>
      <c r="Q110" s="413" t="s">
        <v>953</v>
      </c>
      <c r="R110" s="413" t="s">
        <v>954</v>
      </c>
      <c r="S110" s="413" t="s">
        <v>955</v>
      </c>
      <c r="T110" s="413" t="s">
        <v>956</v>
      </c>
      <c r="U110" s="413" t="s">
        <v>957</v>
      </c>
      <c r="V110" s="413" t="s">
        <v>958</v>
      </c>
      <c r="W110" s="413"/>
      <c r="X110" s="413"/>
      <c r="Y110" s="429" t="s">
        <v>959</v>
      </c>
    </row>
    <row r="111" spans="1:26" x14ac:dyDescent="0.25">
      <c r="A111" s="499" t="s">
        <v>960</v>
      </c>
      <c r="B111" s="500"/>
      <c r="C111" s="500"/>
      <c r="D111" s="500"/>
      <c r="E111" s="500"/>
      <c r="F111" s="500"/>
      <c r="G111" s="500"/>
      <c r="H111" s="500"/>
      <c r="I111" s="500"/>
      <c r="J111" s="500"/>
      <c r="K111" s="500"/>
      <c r="L111" s="500"/>
      <c r="M111" s="500"/>
      <c r="N111" s="500"/>
      <c r="O111" s="500"/>
      <c r="P111" s="500"/>
      <c r="Q111" s="500"/>
      <c r="R111" s="500"/>
      <c r="S111" s="500"/>
      <c r="T111" s="500"/>
      <c r="U111" s="500"/>
      <c r="V111" s="500"/>
      <c r="W111" s="500"/>
      <c r="X111" s="500"/>
      <c r="Y111" s="501"/>
    </row>
    <row r="112" spans="1:26" x14ac:dyDescent="0.25">
      <c r="A112" s="513" t="s">
        <v>961</v>
      </c>
      <c r="B112" s="508"/>
      <c r="C112" s="508"/>
      <c r="D112" s="508"/>
      <c r="E112" s="508"/>
      <c r="F112" s="508"/>
      <c r="G112" s="508"/>
      <c r="H112" s="508"/>
      <c r="I112" s="508"/>
      <c r="J112" s="508"/>
      <c r="K112" s="508"/>
      <c r="L112" s="508"/>
      <c r="M112" s="508"/>
      <c r="N112" s="508"/>
      <c r="O112" s="508"/>
      <c r="P112" s="508"/>
      <c r="Q112" s="508"/>
      <c r="R112" s="508"/>
      <c r="S112" s="508"/>
      <c r="T112" s="508"/>
      <c r="U112" s="508"/>
      <c r="V112" s="508"/>
      <c r="W112" s="508"/>
      <c r="X112" s="508"/>
      <c r="Y112" s="509"/>
    </row>
    <row r="113" spans="1:26" ht="81.75" customHeight="1" x14ac:dyDescent="0.25">
      <c r="A113" s="425" t="s">
        <v>840</v>
      </c>
      <c r="B113" s="418" t="s">
        <v>962</v>
      </c>
      <c r="C113" s="418" t="s">
        <v>963</v>
      </c>
      <c r="D113" s="419">
        <v>1305129.3</v>
      </c>
      <c r="E113" s="419">
        <v>1253618.1000000001</v>
      </c>
      <c r="F113" s="419">
        <v>96.1</v>
      </c>
      <c r="G113" s="419">
        <v>0</v>
      </c>
      <c r="H113" s="419">
        <v>0</v>
      </c>
      <c r="I113" s="419">
        <v>1305129.3</v>
      </c>
      <c r="J113" s="419">
        <v>1253618.1000000001</v>
      </c>
      <c r="K113" s="419">
        <v>0</v>
      </c>
      <c r="L113" s="419">
        <v>0</v>
      </c>
      <c r="M113" s="419">
        <v>0</v>
      </c>
      <c r="N113" s="419">
        <v>0</v>
      </c>
      <c r="O113" s="419">
        <v>1253618.1000000001</v>
      </c>
      <c r="P113" s="418" t="s">
        <v>964</v>
      </c>
      <c r="Q113" s="417" t="s">
        <v>577</v>
      </c>
      <c r="R113" s="417" t="s">
        <v>965</v>
      </c>
      <c r="S113" s="417" t="s">
        <v>610</v>
      </c>
      <c r="T113" s="417" t="s">
        <v>966</v>
      </c>
      <c r="U113" s="417" t="s">
        <v>681</v>
      </c>
      <c r="V113" s="417" t="s">
        <v>966</v>
      </c>
      <c r="W113" s="417"/>
      <c r="X113" s="417"/>
      <c r="Y113" s="514" t="s">
        <v>967</v>
      </c>
    </row>
    <row r="114" spans="1:26" ht="66.75" customHeight="1" x14ac:dyDescent="0.25">
      <c r="A114" s="425" t="s">
        <v>968</v>
      </c>
      <c r="B114" s="418" t="s">
        <v>969</v>
      </c>
      <c r="C114" s="418" t="s">
        <v>963</v>
      </c>
      <c r="D114" s="419">
        <v>102840.4</v>
      </c>
      <c r="E114" s="419">
        <v>77068.100000000006</v>
      </c>
      <c r="F114" s="419">
        <v>74.900000000000006</v>
      </c>
      <c r="G114" s="419">
        <v>0</v>
      </c>
      <c r="H114" s="419">
        <v>0</v>
      </c>
      <c r="I114" s="419">
        <v>102840.4</v>
      </c>
      <c r="J114" s="419">
        <v>77068.100000000006</v>
      </c>
      <c r="K114" s="419">
        <v>0</v>
      </c>
      <c r="L114" s="419">
        <v>0</v>
      </c>
      <c r="M114" s="419">
        <v>0</v>
      </c>
      <c r="N114" s="419">
        <v>0</v>
      </c>
      <c r="O114" s="419">
        <v>77068.100000000006</v>
      </c>
      <c r="P114" s="418" t="s">
        <v>964</v>
      </c>
      <c r="Q114" s="417" t="s">
        <v>591</v>
      </c>
      <c r="R114" s="417" t="s">
        <v>204</v>
      </c>
      <c r="S114" s="417" t="s">
        <v>970</v>
      </c>
      <c r="T114" s="417" t="s">
        <v>793</v>
      </c>
      <c r="U114" s="417" t="s">
        <v>970</v>
      </c>
      <c r="V114" s="417" t="s">
        <v>804</v>
      </c>
      <c r="W114" s="417"/>
      <c r="X114" s="417"/>
      <c r="Y114" s="514"/>
    </row>
    <row r="115" spans="1:26" ht="26.4" hidden="1" x14ac:dyDescent="0.25">
      <c r="A115" s="428" t="s">
        <v>971</v>
      </c>
      <c r="B115" s="418" t="s">
        <v>972</v>
      </c>
      <c r="C115" s="415" t="s">
        <v>963</v>
      </c>
      <c r="D115" s="416">
        <v>53066.2</v>
      </c>
      <c r="E115" s="416">
        <v>38805.9</v>
      </c>
      <c r="F115" s="416">
        <v>73.099999999999994</v>
      </c>
      <c r="G115" s="416">
        <v>0</v>
      </c>
      <c r="H115" s="416">
        <v>0</v>
      </c>
      <c r="I115" s="416">
        <v>53066.2</v>
      </c>
      <c r="J115" s="416">
        <v>38805.9</v>
      </c>
      <c r="K115" s="416">
        <v>0</v>
      </c>
      <c r="L115" s="416">
        <v>0</v>
      </c>
      <c r="M115" s="416">
        <v>0</v>
      </c>
      <c r="N115" s="416">
        <v>0</v>
      </c>
      <c r="O115" s="416">
        <v>38805.9</v>
      </c>
      <c r="P115" s="418" t="s">
        <v>973</v>
      </c>
      <c r="Q115" s="413" t="s">
        <v>974</v>
      </c>
      <c r="R115" s="413" t="s">
        <v>975</v>
      </c>
      <c r="S115" s="413" t="s">
        <v>976</v>
      </c>
      <c r="T115" s="413" t="s">
        <v>977</v>
      </c>
      <c r="U115" s="413" t="s">
        <v>978</v>
      </c>
      <c r="V115" s="413" t="s">
        <v>979</v>
      </c>
      <c r="W115" s="413"/>
      <c r="X115" s="413"/>
      <c r="Y115" s="429" t="s">
        <v>980</v>
      </c>
    </row>
    <row r="116" spans="1:26" ht="26.4" hidden="1" x14ac:dyDescent="0.25">
      <c r="A116" s="428" t="s">
        <v>981</v>
      </c>
      <c r="B116" s="418" t="s">
        <v>982</v>
      </c>
      <c r="C116" s="415" t="s">
        <v>983</v>
      </c>
      <c r="D116" s="416">
        <v>52452.9</v>
      </c>
      <c r="E116" s="416">
        <v>36213.300000000003</v>
      </c>
      <c r="F116" s="416">
        <v>69</v>
      </c>
      <c r="G116" s="416">
        <v>0</v>
      </c>
      <c r="H116" s="416">
        <v>0</v>
      </c>
      <c r="I116" s="416">
        <v>52452.9</v>
      </c>
      <c r="J116" s="416">
        <v>36213.300000000003</v>
      </c>
      <c r="K116" s="416">
        <v>0</v>
      </c>
      <c r="L116" s="416">
        <v>0</v>
      </c>
      <c r="M116" s="416">
        <v>0</v>
      </c>
      <c r="N116" s="416">
        <v>0</v>
      </c>
      <c r="O116" s="416">
        <v>36213.300000000003</v>
      </c>
      <c r="P116" s="418" t="s">
        <v>973</v>
      </c>
      <c r="Q116" s="413" t="s">
        <v>592</v>
      </c>
      <c r="R116" s="413" t="s">
        <v>799</v>
      </c>
      <c r="S116" s="413" t="s">
        <v>984</v>
      </c>
      <c r="T116" s="413" t="s">
        <v>985</v>
      </c>
      <c r="U116" s="413" t="s">
        <v>986</v>
      </c>
      <c r="V116" s="413" t="s">
        <v>910</v>
      </c>
      <c r="W116" s="413"/>
      <c r="X116" s="413"/>
      <c r="Y116" s="515" t="s">
        <v>987</v>
      </c>
    </row>
    <row r="117" spans="1:26" ht="39.6" hidden="1" x14ac:dyDescent="0.25">
      <c r="A117" s="428" t="s">
        <v>988</v>
      </c>
      <c r="B117" s="418" t="s">
        <v>989</v>
      </c>
      <c r="C117" s="415" t="s">
        <v>963</v>
      </c>
      <c r="D117" s="416">
        <v>34331.199999999997</v>
      </c>
      <c r="E117" s="416">
        <v>21245.1</v>
      </c>
      <c r="F117" s="416">
        <v>61.9</v>
      </c>
      <c r="G117" s="416">
        <v>0</v>
      </c>
      <c r="H117" s="416">
        <v>0</v>
      </c>
      <c r="I117" s="416">
        <v>34331.199999999997</v>
      </c>
      <c r="J117" s="416">
        <v>21245.1</v>
      </c>
      <c r="K117" s="416">
        <v>0</v>
      </c>
      <c r="L117" s="416">
        <v>0</v>
      </c>
      <c r="M117" s="416">
        <v>0</v>
      </c>
      <c r="N117" s="416">
        <v>0</v>
      </c>
      <c r="O117" s="416">
        <v>21245.1</v>
      </c>
      <c r="P117" s="418" t="s">
        <v>973</v>
      </c>
      <c r="Q117" s="413" t="s">
        <v>990</v>
      </c>
      <c r="R117" s="413" t="s">
        <v>793</v>
      </c>
      <c r="S117" s="413" t="s">
        <v>833</v>
      </c>
      <c r="T117" s="413" t="s">
        <v>991</v>
      </c>
      <c r="U117" s="413" t="s">
        <v>992</v>
      </c>
      <c r="V117" s="413" t="s">
        <v>993</v>
      </c>
      <c r="W117" s="413"/>
      <c r="X117" s="413"/>
      <c r="Y117" s="515"/>
    </row>
    <row r="118" spans="1:26" x14ac:dyDescent="0.25">
      <c r="A118" s="499" t="s">
        <v>994</v>
      </c>
      <c r="B118" s="500"/>
      <c r="C118" s="500"/>
      <c r="D118" s="500"/>
      <c r="E118" s="500"/>
      <c r="F118" s="500"/>
      <c r="G118" s="500"/>
      <c r="H118" s="500"/>
      <c r="I118" s="500"/>
      <c r="J118" s="500"/>
      <c r="K118" s="500"/>
      <c r="L118" s="500"/>
      <c r="M118" s="500"/>
      <c r="N118" s="500"/>
      <c r="O118" s="500"/>
      <c r="P118" s="500"/>
      <c r="Q118" s="500"/>
      <c r="R118" s="500"/>
      <c r="S118" s="500"/>
      <c r="T118" s="500"/>
      <c r="U118" s="500"/>
      <c r="V118" s="500"/>
      <c r="W118" s="500"/>
      <c r="X118" s="500"/>
      <c r="Y118" s="501"/>
    </row>
    <row r="119" spans="1:26" x14ac:dyDescent="0.25">
      <c r="A119" s="513" t="s">
        <v>995</v>
      </c>
      <c r="B119" s="508"/>
      <c r="C119" s="508"/>
      <c r="D119" s="508"/>
      <c r="E119" s="508"/>
      <c r="F119" s="508"/>
      <c r="G119" s="508"/>
      <c r="H119" s="508"/>
      <c r="I119" s="508"/>
      <c r="J119" s="508"/>
      <c r="K119" s="508"/>
      <c r="L119" s="508"/>
      <c r="M119" s="508"/>
      <c r="N119" s="508"/>
      <c r="O119" s="508"/>
      <c r="P119" s="508"/>
      <c r="Q119" s="508"/>
      <c r="R119" s="508"/>
      <c r="S119" s="508"/>
      <c r="T119" s="508"/>
      <c r="U119" s="508"/>
      <c r="V119" s="508"/>
      <c r="W119" s="508"/>
      <c r="X119" s="508"/>
      <c r="Y119" s="509"/>
    </row>
    <row r="120" spans="1:26" ht="92.4" x14ac:dyDescent="0.25">
      <c r="A120" s="425" t="s">
        <v>996</v>
      </c>
      <c r="B120" s="418" t="s">
        <v>997</v>
      </c>
      <c r="C120" s="418" t="s">
        <v>764</v>
      </c>
      <c r="D120" s="419">
        <v>498.8</v>
      </c>
      <c r="E120" s="419">
        <v>249.8</v>
      </c>
      <c r="F120" s="419">
        <v>50.1</v>
      </c>
      <c r="G120" s="419">
        <v>0</v>
      </c>
      <c r="H120" s="419">
        <v>0</v>
      </c>
      <c r="I120" s="419">
        <v>498.8</v>
      </c>
      <c r="J120" s="419">
        <v>249.8</v>
      </c>
      <c r="K120" s="419">
        <v>0</v>
      </c>
      <c r="L120" s="419">
        <v>0</v>
      </c>
      <c r="M120" s="419">
        <v>0</v>
      </c>
      <c r="N120" s="419">
        <v>0</v>
      </c>
      <c r="O120" s="419">
        <v>249.8</v>
      </c>
      <c r="P120" s="418" t="s">
        <v>998</v>
      </c>
      <c r="Q120" s="417" t="s">
        <v>792</v>
      </c>
      <c r="R120" s="417" t="s">
        <v>14</v>
      </c>
      <c r="S120" s="417" t="s">
        <v>886</v>
      </c>
      <c r="T120" s="417" t="s">
        <v>985</v>
      </c>
      <c r="U120" s="417" t="s">
        <v>999</v>
      </c>
      <c r="V120" s="417" t="s">
        <v>1000</v>
      </c>
      <c r="W120" s="417"/>
      <c r="X120" s="417"/>
      <c r="Y120" s="427" t="s">
        <v>1001</v>
      </c>
      <c r="Z120" s="406"/>
    </row>
    <row r="121" spans="1:26" x14ac:dyDescent="0.25">
      <c r="A121" s="499" t="s">
        <v>1002</v>
      </c>
      <c r="B121" s="500"/>
      <c r="C121" s="500"/>
      <c r="D121" s="500"/>
      <c r="E121" s="500"/>
      <c r="F121" s="500"/>
      <c r="G121" s="500"/>
      <c r="H121" s="500"/>
      <c r="I121" s="500"/>
      <c r="J121" s="500"/>
      <c r="K121" s="500"/>
      <c r="L121" s="500"/>
      <c r="M121" s="500"/>
      <c r="N121" s="500"/>
      <c r="O121" s="500"/>
      <c r="P121" s="500"/>
      <c r="Q121" s="500"/>
      <c r="R121" s="500"/>
      <c r="S121" s="500"/>
      <c r="T121" s="500"/>
      <c r="U121" s="500"/>
      <c r="V121" s="500"/>
      <c r="W121" s="500"/>
      <c r="X121" s="500"/>
      <c r="Y121" s="501"/>
    </row>
    <row r="122" spans="1:26" x14ac:dyDescent="0.25">
      <c r="A122" s="513" t="s">
        <v>1003</v>
      </c>
      <c r="B122" s="508"/>
      <c r="C122" s="508"/>
      <c r="D122" s="508"/>
      <c r="E122" s="508"/>
      <c r="F122" s="508"/>
      <c r="G122" s="508"/>
      <c r="H122" s="508"/>
      <c r="I122" s="508"/>
      <c r="J122" s="508"/>
      <c r="K122" s="508"/>
      <c r="L122" s="508"/>
      <c r="M122" s="508"/>
      <c r="N122" s="508"/>
      <c r="O122" s="508"/>
      <c r="P122" s="508"/>
      <c r="Q122" s="508"/>
      <c r="R122" s="508"/>
      <c r="S122" s="508"/>
      <c r="T122" s="508"/>
      <c r="U122" s="508"/>
      <c r="V122" s="508"/>
      <c r="W122" s="508"/>
      <c r="X122" s="508"/>
      <c r="Y122" s="509"/>
    </row>
    <row r="123" spans="1:26" ht="92.4" hidden="1" x14ac:dyDescent="0.25">
      <c r="A123" s="428" t="s">
        <v>1004</v>
      </c>
      <c r="B123" s="415" t="s">
        <v>1005</v>
      </c>
      <c r="C123" s="415" t="s">
        <v>1006</v>
      </c>
      <c r="D123" s="416">
        <v>35600</v>
      </c>
      <c r="E123" s="416">
        <v>0</v>
      </c>
      <c r="F123" s="416">
        <v>0</v>
      </c>
      <c r="G123" s="416">
        <v>0</v>
      </c>
      <c r="H123" s="416">
        <v>0</v>
      </c>
      <c r="I123" s="416">
        <v>34000</v>
      </c>
      <c r="J123" s="416">
        <v>0</v>
      </c>
      <c r="K123" s="416">
        <v>1600</v>
      </c>
      <c r="L123" s="416">
        <v>0</v>
      </c>
      <c r="M123" s="416">
        <v>0</v>
      </c>
      <c r="N123" s="416">
        <v>0</v>
      </c>
      <c r="O123" s="416">
        <v>0</v>
      </c>
      <c r="P123" s="415" t="s">
        <v>1007</v>
      </c>
      <c r="Q123" s="413"/>
      <c r="R123" s="413"/>
      <c r="S123" s="413" t="s">
        <v>1008</v>
      </c>
      <c r="T123" s="413" t="s">
        <v>107</v>
      </c>
      <c r="U123" s="413"/>
      <c r="V123" s="415" t="s">
        <v>1009</v>
      </c>
      <c r="W123" s="413"/>
      <c r="X123" s="413"/>
      <c r="Y123" s="429" t="s">
        <v>1010</v>
      </c>
    </row>
    <row r="124" spans="1:26" ht="52.8" x14ac:dyDescent="0.25">
      <c r="A124" s="425" t="s">
        <v>1011</v>
      </c>
      <c r="B124" s="418" t="s">
        <v>1012</v>
      </c>
      <c r="C124" s="418" t="s">
        <v>1006</v>
      </c>
      <c r="D124" s="419">
        <v>157500</v>
      </c>
      <c r="E124" s="419">
        <v>0</v>
      </c>
      <c r="F124" s="419">
        <v>0</v>
      </c>
      <c r="G124" s="419">
        <v>0</v>
      </c>
      <c r="H124" s="419">
        <v>0</v>
      </c>
      <c r="I124" s="419">
        <v>150000</v>
      </c>
      <c r="J124" s="419">
        <v>0</v>
      </c>
      <c r="K124" s="419">
        <v>7500</v>
      </c>
      <c r="L124" s="419">
        <v>0</v>
      </c>
      <c r="M124" s="419">
        <v>0</v>
      </c>
      <c r="N124" s="419">
        <v>0</v>
      </c>
      <c r="O124" s="419">
        <v>0</v>
      </c>
      <c r="P124" s="418" t="s">
        <v>1013</v>
      </c>
      <c r="Q124" s="417"/>
      <c r="R124" s="417"/>
      <c r="S124" s="417"/>
      <c r="T124" s="417"/>
      <c r="U124" s="439" t="s">
        <v>15</v>
      </c>
      <c r="V124" s="439" t="s">
        <v>576</v>
      </c>
      <c r="W124" s="417"/>
      <c r="X124" s="417"/>
      <c r="Y124" s="426" t="s">
        <v>1131</v>
      </c>
    </row>
    <row r="125" spans="1:26" x14ac:dyDescent="0.25">
      <c r="A125" s="513" t="s">
        <v>1014</v>
      </c>
      <c r="B125" s="508"/>
      <c r="C125" s="508"/>
      <c r="D125" s="508"/>
      <c r="E125" s="508"/>
      <c r="F125" s="508"/>
      <c r="G125" s="508"/>
      <c r="H125" s="508"/>
      <c r="I125" s="508"/>
      <c r="J125" s="508"/>
      <c r="K125" s="508"/>
      <c r="L125" s="508"/>
      <c r="M125" s="508"/>
      <c r="N125" s="508"/>
      <c r="O125" s="508"/>
      <c r="P125" s="508"/>
      <c r="Q125" s="508"/>
      <c r="R125" s="508"/>
      <c r="S125" s="508"/>
      <c r="T125" s="508"/>
      <c r="U125" s="508"/>
      <c r="V125" s="508"/>
      <c r="W125" s="508"/>
      <c r="X125" s="508"/>
      <c r="Y125" s="509"/>
    </row>
    <row r="126" spans="1:26" ht="26.4" x14ac:dyDescent="0.25">
      <c r="A126" s="425" t="s">
        <v>1015</v>
      </c>
      <c r="B126" s="418" t="s">
        <v>1016</v>
      </c>
      <c r="C126" s="418" t="s">
        <v>1017</v>
      </c>
      <c r="D126" s="419">
        <v>1444</v>
      </c>
      <c r="E126" s="419">
        <v>1444</v>
      </c>
      <c r="F126" s="419">
        <v>100</v>
      </c>
      <c r="G126" s="419">
        <v>0</v>
      </c>
      <c r="H126" s="419">
        <v>0</v>
      </c>
      <c r="I126" s="419">
        <v>1444</v>
      </c>
      <c r="J126" s="419">
        <v>1444</v>
      </c>
      <c r="K126" s="419">
        <v>0</v>
      </c>
      <c r="L126" s="419">
        <v>0</v>
      </c>
      <c r="M126" s="419">
        <v>0</v>
      </c>
      <c r="N126" s="419">
        <v>0</v>
      </c>
      <c r="O126" s="419">
        <v>1444</v>
      </c>
      <c r="P126" s="418" t="s">
        <v>1018</v>
      </c>
      <c r="Q126" s="417"/>
      <c r="R126" s="417"/>
      <c r="S126" s="417" t="s">
        <v>1019</v>
      </c>
      <c r="T126" s="417" t="s">
        <v>1020</v>
      </c>
      <c r="U126" s="417"/>
      <c r="V126" s="417"/>
      <c r="W126" s="417"/>
      <c r="X126" s="417"/>
      <c r="Y126" s="440" t="s">
        <v>1021</v>
      </c>
    </row>
    <row r="127" spans="1:26" x14ac:dyDescent="0.25">
      <c r="A127" s="513" t="s">
        <v>1022</v>
      </c>
      <c r="B127" s="508"/>
      <c r="C127" s="508"/>
      <c r="D127" s="508"/>
      <c r="E127" s="508"/>
      <c r="F127" s="508"/>
      <c r="G127" s="508"/>
      <c r="H127" s="508"/>
      <c r="I127" s="508"/>
      <c r="J127" s="508"/>
      <c r="K127" s="508"/>
      <c r="L127" s="508"/>
      <c r="M127" s="508"/>
      <c r="N127" s="508"/>
      <c r="O127" s="508"/>
      <c r="P127" s="508"/>
      <c r="Q127" s="508"/>
      <c r="R127" s="508"/>
      <c r="S127" s="508"/>
      <c r="T127" s="508"/>
      <c r="U127" s="508"/>
      <c r="V127" s="508"/>
      <c r="W127" s="508"/>
      <c r="X127" s="508"/>
      <c r="Y127" s="509"/>
    </row>
    <row r="128" spans="1:26" ht="26.4" x14ac:dyDescent="0.25">
      <c r="A128" s="425" t="s">
        <v>932</v>
      </c>
      <c r="B128" s="418" t="s">
        <v>1023</v>
      </c>
      <c r="C128" s="418" t="s">
        <v>1017</v>
      </c>
      <c r="D128" s="419">
        <v>17106.5</v>
      </c>
      <c r="E128" s="419">
        <v>9561.7000000000007</v>
      </c>
      <c r="F128" s="419">
        <v>55.9</v>
      </c>
      <c r="G128" s="419">
        <v>0</v>
      </c>
      <c r="H128" s="419">
        <v>0</v>
      </c>
      <c r="I128" s="419">
        <v>17106.5</v>
      </c>
      <c r="J128" s="419">
        <v>9561.7000000000007</v>
      </c>
      <c r="K128" s="419">
        <v>0</v>
      </c>
      <c r="L128" s="419">
        <v>0</v>
      </c>
      <c r="M128" s="419">
        <v>0</v>
      </c>
      <c r="N128" s="419">
        <v>0</v>
      </c>
      <c r="O128" s="419">
        <v>9561.7000000000007</v>
      </c>
      <c r="P128" s="418" t="s">
        <v>1024</v>
      </c>
      <c r="Q128" s="417" t="s">
        <v>211</v>
      </c>
      <c r="R128" s="417" t="s">
        <v>203</v>
      </c>
      <c r="S128" s="417" t="s">
        <v>17</v>
      </c>
      <c r="T128" s="417" t="s">
        <v>17</v>
      </c>
      <c r="U128" s="417" t="s">
        <v>204</v>
      </c>
      <c r="V128" s="417" t="s">
        <v>18</v>
      </c>
      <c r="W128" s="417"/>
      <c r="X128" s="417"/>
      <c r="Y128" s="441" t="s">
        <v>1025</v>
      </c>
    </row>
    <row r="129" spans="1:25" ht="92.4" x14ac:dyDescent="0.25">
      <c r="A129" s="425" t="s">
        <v>1011</v>
      </c>
      <c r="B129" s="418" t="s">
        <v>1026</v>
      </c>
      <c r="C129" s="418" t="s">
        <v>1017</v>
      </c>
      <c r="D129" s="419">
        <v>274183.3</v>
      </c>
      <c r="E129" s="419">
        <v>212130.9</v>
      </c>
      <c r="F129" s="419">
        <v>77.400000000000006</v>
      </c>
      <c r="G129" s="419">
        <v>0</v>
      </c>
      <c r="H129" s="419">
        <v>0</v>
      </c>
      <c r="I129" s="419">
        <v>274183.3</v>
      </c>
      <c r="J129" s="419">
        <v>212130.9</v>
      </c>
      <c r="K129" s="419">
        <v>0</v>
      </c>
      <c r="L129" s="419">
        <v>0</v>
      </c>
      <c r="M129" s="419">
        <v>0</v>
      </c>
      <c r="N129" s="419">
        <v>0</v>
      </c>
      <c r="O129" s="419">
        <v>212130.9</v>
      </c>
      <c r="P129" s="418" t="s">
        <v>1027</v>
      </c>
      <c r="Q129" s="417" t="s">
        <v>14</v>
      </c>
      <c r="R129" s="417" t="s">
        <v>14</v>
      </c>
      <c r="S129" s="417" t="s">
        <v>17</v>
      </c>
      <c r="T129" s="417" t="s">
        <v>1028</v>
      </c>
      <c r="U129" s="417" t="s">
        <v>1029</v>
      </c>
      <c r="V129" s="417" t="s">
        <v>1030</v>
      </c>
      <c r="W129" s="417"/>
      <c r="X129" s="417"/>
      <c r="Y129" s="427" t="s">
        <v>1031</v>
      </c>
    </row>
    <row r="130" spans="1:25" ht="66" x14ac:dyDescent="0.25">
      <c r="A130" s="425" t="s">
        <v>968</v>
      </c>
      <c r="B130" s="418" t="s">
        <v>1032</v>
      </c>
      <c r="C130" s="418" t="s">
        <v>1017</v>
      </c>
      <c r="D130" s="419">
        <v>0</v>
      </c>
      <c r="E130" s="419">
        <v>0</v>
      </c>
      <c r="F130" s="419">
        <v>0</v>
      </c>
      <c r="G130" s="419">
        <v>0</v>
      </c>
      <c r="H130" s="419">
        <v>0</v>
      </c>
      <c r="I130" s="419">
        <v>0</v>
      </c>
      <c r="J130" s="419">
        <v>0</v>
      </c>
      <c r="K130" s="419">
        <v>0</v>
      </c>
      <c r="L130" s="419">
        <v>0</v>
      </c>
      <c r="M130" s="419">
        <v>0</v>
      </c>
      <c r="N130" s="419">
        <v>0</v>
      </c>
      <c r="O130" s="419">
        <v>0</v>
      </c>
      <c r="P130" s="418" t="s">
        <v>1033</v>
      </c>
      <c r="Q130" s="417" t="s">
        <v>605</v>
      </c>
      <c r="R130" s="417" t="s">
        <v>605</v>
      </c>
      <c r="S130" s="417" t="s">
        <v>605</v>
      </c>
      <c r="T130" s="417" t="s">
        <v>1034</v>
      </c>
      <c r="U130" s="417" t="s">
        <v>676</v>
      </c>
      <c r="V130" s="417" t="s">
        <v>1035</v>
      </c>
      <c r="W130" s="417"/>
      <c r="X130" s="417"/>
      <c r="Y130" s="516" t="s">
        <v>1036</v>
      </c>
    </row>
    <row r="131" spans="1:25" ht="39.6" x14ac:dyDescent="0.25">
      <c r="A131" s="425" t="s">
        <v>968</v>
      </c>
      <c r="B131" s="418" t="s">
        <v>1032</v>
      </c>
      <c r="C131" s="418" t="s">
        <v>1017</v>
      </c>
      <c r="D131" s="419">
        <v>0</v>
      </c>
      <c r="E131" s="419">
        <v>0</v>
      </c>
      <c r="F131" s="419">
        <v>0</v>
      </c>
      <c r="G131" s="419">
        <v>0</v>
      </c>
      <c r="H131" s="419">
        <v>0</v>
      </c>
      <c r="I131" s="419">
        <v>0</v>
      </c>
      <c r="J131" s="419">
        <v>0</v>
      </c>
      <c r="K131" s="419">
        <v>0</v>
      </c>
      <c r="L131" s="419">
        <v>0</v>
      </c>
      <c r="M131" s="419">
        <v>0</v>
      </c>
      <c r="N131" s="419">
        <v>0</v>
      </c>
      <c r="O131" s="419">
        <v>0</v>
      </c>
      <c r="P131" s="418" t="s">
        <v>1024</v>
      </c>
      <c r="Q131" s="417"/>
      <c r="R131" s="417"/>
      <c r="S131" s="417"/>
      <c r="T131" s="417"/>
      <c r="U131" s="417" t="s">
        <v>211</v>
      </c>
      <c r="V131" s="417" t="s">
        <v>15</v>
      </c>
      <c r="W131" s="417"/>
      <c r="X131" s="417"/>
      <c r="Y131" s="516"/>
    </row>
    <row r="132" spans="1:25" ht="39.6" x14ac:dyDescent="0.25">
      <c r="A132" s="425" t="s">
        <v>1037</v>
      </c>
      <c r="B132" s="418" t="s">
        <v>1038</v>
      </c>
      <c r="C132" s="418" t="s">
        <v>1017</v>
      </c>
      <c r="D132" s="419">
        <v>0</v>
      </c>
      <c r="E132" s="419">
        <v>0</v>
      </c>
      <c r="F132" s="419">
        <v>0</v>
      </c>
      <c r="G132" s="419">
        <v>0</v>
      </c>
      <c r="H132" s="419">
        <v>0</v>
      </c>
      <c r="I132" s="419">
        <v>0</v>
      </c>
      <c r="J132" s="419">
        <v>0</v>
      </c>
      <c r="K132" s="419">
        <v>0</v>
      </c>
      <c r="L132" s="419">
        <v>0</v>
      </c>
      <c r="M132" s="419">
        <v>0</v>
      </c>
      <c r="N132" s="419">
        <v>0</v>
      </c>
      <c r="O132" s="419">
        <v>0</v>
      </c>
      <c r="P132" s="418" t="s">
        <v>1039</v>
      </c>
      <c r="Q132" s="417"/>
      <c r="R132" s="417"/>
      <c r="S132" s="417" t="s">
        <v>14</v>
      </c>
      <c r="T132" s="417" t="s">
        <v>576</v>
      </c>
      <c r="U132" s="417" t="s">
        <v>205</v>
      </c>
      <c r="V132" s="417" t="s">
        <v>204</v>
      </c>
      <c r="W132" s="417"/>
      <c r="X132" s="417"/>
      <c r="Y132" s="441" t="s">
        <v>1040</v>
      </c>
    </row>
    <row r="133" spans="1:25" x14ac:dyDescent="0.25">
      <c r="A133" s="513" t="s">
        <v>1041</v>
      </c>
      <c r="B133" s="508"/>
      <c r="C133" s="508"/>
      <c r="D133" s="508"/>
      <c r="E133" s="508"/>
      <c r="F133" s="508"/>
      <c r="G133" s="508"/>
      <c r="H133" s="508"/>
      <c r="I133" s="508"/>
      <c r="J133" s="508"/>
      <c r="K133" s="508"/>
      <c r="L133" s="508"/>
      <c r="M133" s="508"/>
      <c r="N133" s="508"/>
      <c r="O133" s="508"/>
      <c r="P133" s="508"/>
      <c r="Q133" s="508"/>
      <c r="R133" s="508"/>
      <c r="S133" s="508"/>
      <c r="T133" s="508"/>
      <c r="U133" s="508"/>
      <c r="V133" s="508"/>
      <c r="W133" s="508"/>
      <c r="X133" s="508"/>
      <c r="Y133" s="509"/>
    </row>
    <row r="134" spans="1:25" ht="67.5" customHeight="1" x14ac:dyDescent="0.25">
      <c r="A134" s="425" t="s">
        <v>762</v>
      </c>
      <c r="B134" s="418" t="s">
        <v>1042</v>
      </c>
      <c r="C134" s="418" t="s">
        <v>1006</v>
      </c>
      <c r="D134" s="419">
        <v>0</v>
      </c>
      <c r="E134" s="419">
        <v>0</v>
      </c>
      <c r="F134" s="419">
        <v>0</v>
      </c>
      <c r="G134" s="419">
        <v>0</v>
      </c>
      <c r="H134" s="419">
        <v>0</v>
      </c>
      <c r="I134" s="419">
        <v>0</v>
      </c>
      <c r="J134" s="419">
        <v>0</v>
      </c>
      <c r="K134" s="419">
        <v>0</v>
      </c>
      <c r="L134" s="419">
        <v>0</v>
      </c>
      <c r="M134" s="419">
        <v>0</v>
      </c>
      <c r="N134" s="419">
        <v>0</v>
      </c>
      <c r="O134" s="419">
        <v>0</v>
      </c>
      <c r="P134" s="418" t="s">
        <v>1043</v>
      </c>
      <c r="Q134" s="417" t="s">
        <v>1044</v>
      </c>
      <c r="R134" s="417" t="s">
        <v>1045</v>
      </c>
      <c r="S134" s="417" t="s">
        <v>1046</v>
      </c>
      <c r="T134" s="417" t="s">
        <v>1047</v>
      </c>
      <c r="U134" s="417" t="s">
        <v>693</v>
      </c>
      <c r="V134" s="417" t="s">
        <v>1048</v>
      </c>
      <c r="W134" s="417"/>
      <c r="X134" s="417"/>
      <c r="Y134" s="514" t="s">
        <v>1049</v>
      </c>
    </row>
    <row r="135" spans="1:25" ht="45.75" customHeight="1" x14ac:dyDescent="0.25">
      <c r="A135" s="425" t="s">
        <v>762</v>
      </c>
      <c r="B135" s="418" t="s">
        <v>1042</v>
      </c>
      <c r="C135" s="418" t="s">
        <v>1006</v>
      </c>
      <c r="D135" s="419">
        <v>0</v>
      </c>
      <c r="E135" s="419">
        <v>0</v>
      </c>
      <c r="F135" s="419">
        <v>0</v>
      </c>
      <c r="G135" s="419">
        <v>0</v>
      </c>
      <c r="H135" s="419">
        <v>0</v>
      </c>
      <c r="I135" s="419">
        <v>0</v>
      </c>
      <c r="J135" s="419">
        <v>0</v>
      </c>
      <c r="K135" s="419">
        <v>0</v>
      </c>
      <c r="L135" s="419">
        <v>0</v>
      </c>
      <c r="M135" s="419">
        <v>0</v>
      </c>
      <c r="N135" s="419">
        <v>0</v>
      </c>
      <c r="O135" s="419">
        <v>0</v>
      </c>
      <c r="P135" s="418" t="s">
        <v>1050</v>
      </c>
      <c r="Q135" s="417" t="s">
        <v>1051</v>
      </c>
      <c r="R135" s="417" t="s">
        <v>1052</v>
      </c>
      <c r="S135" s="417" t="s">
        <v>1053</v>
      </c>
      <c r="T135" s="417" t="s">
        <v>1054</v>
      </c>
      <c r="U135" s="417" t="s">
        <v>855</v>
      </c>
      <c r="V135" s="417" t="s">
        <v>1055</v>
      </c>
      <c r="W135" s="417"/>
      <c r="X135" s="417"/>
      <c r="Y135" s="514"/>
    </row>
    <row r="136" spans="1:25" ht="52.8" hidden="1" x14ac:dyDescent="0.25">
      <c r="A136" s="428" t="s">
        <v>801</v>
      </c>
      <c r="B136" s="415" t="s">
        <v>1056</v>
      </c>
      <c r="C136" s="415" t="s">
        <v>1006</v>
      </c>
      <c r="D136" s="416">
        <v>87791.6</v>
      </c>
      <c r="E136" s="416">
        <v>62009.8</v>
      </c>
      <c r="F136" s="416">
        <v>70.599999999999994</v>
      </c>
      <c r="G136" s="416">
        <v>0</v>
      </c>
      <c r="H136" s="416">
        <v>0</v>
      </c>
      <c r="I136" s="416">
        <v>87791.6</v>
      </c>
      <c r="J136" s="416">
        <v>62009.8</v>
      </c>
      <c r="K136" s="416">
        <v>0</v>
      </c>
      <c r="L136" s="416">
        <v>0</v>
      </c>
      <c r="M136" s="416">
        <v>0</v>
      </c>
      <c r="N136" s="416">
        <v>0</v>
      </c>
      <c r="O136" s="416">
        <v>62009.8</v>
      </c>
      <c r="P136" s="415" t="s">
        <v>1057</v>
      </c>
      <c r="Q136" s="413" t="s">
        <v>793</v>
      </c>
      <c r="R136" s="413" t="s">
        <v>605</v>
      </c>
      <c r="S136" s="413" t="s">
        <v>984</v>
      </c>
      <c r="T136" s="413" t="s">
        <v>985</v>
      </c>
      <c r="U136" s="413" t="s">
        <v>700</v>
      </c>
      <c r="V136" s="413" t="s">
        <v>1058</v>
      </c>
      <c r="W136" s="413"/>
      <c r="X136" s="413"/>
      <c r="Y136" s="429"/>
    </row>
    <row r="137" spans="1:25" x14ac:dyDescent="0.25">
      <c r="A137" s="499" t="s">
        <v>1059</v>
      </c>
      <c r="B137" s="500"/>
      <c r="C137" s="500"/>
      <c r="D137" s="500"/>
      <c r="E137" s="500"/>
      <c r="F137" s="500"/>
      <c r="G137" s="500"/>
      <c r="H137" s="500"/>
      <c r="I137" s="500"/>
      <c r="J137" s="500"/>
      <c r="K137" s="500"/>
      <c r="L137" s="500"/>
      <c r="M137" s="500"/>
      <c r="N137" s="500"/>
      <c r="O137" s="500"/>
      <c r="P137" s="500"/>
      <c r="Q137" s="500"/>
      <c r="R137" s="500"/>
      <c r="S137" s="500"/>
      <c r="T137" s="500"/>
      <c r="U137" s="500"/>
      <c r="V137" s="500"/>
      <c r="W137" s="500"/>
      <c r="X137" s="500"/>
      <c r="Y137" s="501"/>
    </row>
    <row r="138" spans="1:25" ht="64.5" customHeight="1" x14ac:dyDescent="0.25">
      <c r="A138" s="425" t="s">
        <v>16</v>
      </c>
      <c r="B138" s="418" t="s">
        <v>1060</v>
      </c>
      <c r="C138" s="418" t="s">
        <v>1061</v>
      </c>
      <c r="D138" s="419">
        <v>0</v>
      </c>
      <c r="E138" s="419">
        <v>0</v>
      </c>
      <c r="F138" s="419">
        <v>0</v>
      </c>
      <c r="G138" s="419">
        <v>0</v>
      </c>
      <c r="H138" s="419">
        <v>0</v>
      </c>
      <c r="I138" s="419">
        <v>0</v>
      </c>
      <c r="J138" s="419">
        <v>0</v>
      </c>
      <c r="K138" s="419">
        <v>0</v>
      </c>
      <c r="L138" s="419">
        <v>0</v>
      </c>
      <c r="M138" s="419">
        <v>0</v>
      </c>
      <c r="N138" s="419">
        <v>0</v>
      </c>
      <c r="O138" s="419">
        <v>0</v>
      </c>
      <c r="P138" s="418" t="s">
        <v>1062</v>
      </c>
      <c r="Q138" s="417"/>
      <c r="R138" s="417"/>
      <c r="S138" s="417"/>
      <c r="T138" s="417"/>
      <c r="U138" s="417" t="s">
        <v>1063</v>
      </c>
      <c r="V138" s="417" t="s">
        <v>107</v>
      </c>
      <c r="W138" s="417"/>
      <c r="X138" s="417"/>
      <c r="Y138" s="427" t="s">
        <v>1064</v>
      </c>
    </row>
    <row r="139" spans="1:25" ht="105.6" hidden="1" x14ac:dyDescent="0.25">
      <c r="A139" s="428" t="s">
        <v>1065</v>
      </c>
      <c r="B139" s="415" t="s">
        <v>1066</v>
      </c>
      <c r="C139" s="415" t="s">
        <v>1061</v>
      </c>
      <c r="D139" s="416">
        <v>10488.7</v>
      </c>
      <c r="E139" s="416">
        <v>7154.5029999999997</v>
      </c>
      <c r="F139" s="416">
        <v>68.2</v>
      </c>
      <c r="G139" s="416">
        <v>0</v>
      </c>
      <c r="H139" s="416">
        <v>0</v>
      </c>
      <c r="I139" s="416">
        <v>10488.7</v>
      </c>
      <c r="J139" s="416">
        <v>7154.5029999999997</v>
      </c>
      <c r="K139" s="416">
        <v>0</v>
      </c>
      <c r="L139" s="416">
        <v>0</v>
      </c>
      <c r="M139" s="416">
        <v>0</v>
      </c>
      <c r="N139" s="416">
        <v>0</v>
      </c>
      <c r="O139" s="416">
        <v>7154.5029999999997</v>
      </c>
      <c r="P139" s="415" t="s">
        <v>827</v>
      </c>
      <c r="Q139" s="413" t="s">
        <v>591</v>
      </c>
      <c r="R139" s="413" t="s">
        <v>605</v>
      </c>
      <c r="S139" s="413" t="s">
        <v>593</v>
      </c>
      <c r="T139" s="413" t="s">
        <v>1067</v>
      </c>
      <c r="U139" s="413" t="s">
        <v>595</v>
      </c>
      <c r="V139" s="413" t="s">
        <v>618</v>
      </c>
      <c r="W139" s="413"/>
      <c r="X139" s="413"/>
      <c r="Y139" s="429" t="s">
        <v>1068</v>
      </c>
    </row>
    <row r="140" spans="1:25" ht="79.2" hidden="1" x14ac:dyDescent="0.25">
      <c r="A140" s="428" t="s">
        <v>1069</v>
      </c>
      <c r="B140" s="415" t="s">
        <v>1070</v>
      </c>
      <c r="C140" s="415" t="s">
        <v>1061</v>
      </c>
      <c r="D140" s="416">
        <v>7446.4</v>
      </c>
      <c r="E140" s="416">
        <v>4946.8230000000003</v>
      </c>
      <c r="F140" s="416">
        <v>66.400000000000006</v>
      </c>
      <c r="G140" s="416">
        <v>0</v>
      </c>
      <c r="H140" s="416">
        <v>0</v>
      </c>
      <c r="I140" s="416">
        <v>7446.4</v>
      </c>
      <c r="J140" s="416">
        <v>4946.8230000000003</v>
      </c>
      <c r="K140" s="416">
        <v>0</v>
      </c>
      <c r="L140" s="416">
        <v>0</v>
      </c>
      <c r="M140" s="416">
        <v>0</v>
      </c>
      <c r="N140" s="416">
        <v>0</v>
      </c>
      <c r="O140" s="416">
        <v>4946.8230000000003</v>
      </c>
      <c r="P140" s="415" t="s">
        <v>827</v>
      </c>
      <c r="Q140" s="413" t="s">
        <v>591</v>
      </c>
      <c r="R140" s="413" t="s">
        <v>216</v>
      </c>
      <c r="S140" s="413" t="s">
        <v>593</v>
      </c>
      <c r="T140" s="413" t="s">
        <v>1071</v>
      </c>
      <c r="U140" s="413" t="s">
        <v>595</v>
      </c>
      <c r="V140" s="413" t="s">
        <v>1072</v>
      </c>
      <c r="W140" s="413"/>
      <c r="X140" s="413"/>
      <c r="Y140" s="429" t="s">
        <v>1073</v>
      </c>
    </row>
    <row r="141" spans="1:25" x14ac:dyDescent="0.25">
      <c r="A141" s="499" t="s">
        <v>1074</v>
      </c>
      <c r="B141" s="500"/>
      <c r="C141" s="500"/>
      <c r="D141" s="500"/>
      <c r="E141" s="500"/>
      <c r="F141" s="500"/>
      <c r="G141" s="500"/>
      <c r="H141" s="500"/>
      <c r="I141" s="500"/>
      <c r="J141" s="500"/>
      <c r="K141" s="500"/>
      <c r="L141" s="500"/>
      <c r="M141" s="500"/>
      <c r="N141" s="500"/>
      <c r="O141" s="500"/>
      <c r="P141" s="500"/>
      <c r="Q141" s="500"/>
      <c r="R141" s="500"/>
      <c r="S141" s="500"/>
      <c r="T141" s="500"/>
      <c r="U141" s="500"/>
      <c r="V141" s="500"/>
      <c r="W141" s="500"/>
      <c r="X141" s="500"/>
      <c r="Y141" s="501"/>
    </row>
    <row r="142" spans="1:25" ht="52.8" x14ac:dyDescent="0.25">
      <c r="A142" s="425" t="s">
        <v>789</v>
      </c>
      <c r="B142" s="418" t="s">
        <v>1075</v>
      </c>
      <c r="C142" s="418"/>
      <c r="D142" s="419">
        <v>0</v>
      </c>
      <c r="E142" s="419">
        <v>0</v>
      </c>
      <c r="F142" s="419">
        <v>0</v>
      </c>
      <c r="G142" s="419">
        <v>0</v>
      </c>
      <c r="H142" s="419">
        <v>0</v>
      </c>
      <c r="I142" s="419">
        <v>0</v>
      </c>
      <c r="J142" s="419">
        <v>0</v>
      </c>
      <c r="K142" s="419">
        <v>0</v>
      </c>
      <c r="L142" s="419">
        <v>0</v>
      </c>
      <c r="M142" s="419">
        <v>0</v>
      </c>
      <c r="N142" s="419">
        <v>0</v>
      </c>
      <c r="O142" s="419">
        <v>0</v>
      </c>
      <c r="P142" s="418" t="s">
        <v>1076</v>
      </c>
      <c r="Q142" s="417"/>
      <c r="R142" s="417"/>
      <c r="S142" s="417"/>
      <c r="T142" s="417"/>
      <c r="U142" s="417" t="s">
        <v>1063</v>
      </c>
      <c r="V142" s="417" t="s">
        <v>107</v>
      </c>
      <c r="W142" s="417"/>
      <c r="X142" s="417"/>
      <c r="Y142" s="441" t="s">
        <v>1077</v>
      </c>
    </row>
    <row r="143" spans="1:25" x14ac:dyDescent="0.25">
      <c r="A143" s="499" t="s">
        <v>1078</v>
      </c>
      <c r="B143" s="500"/>
      <c r="C143" s="500"/>
      <c r="D143" s="500"/>
      <c r="E143" s="500"/>
      <c r="F143" s="500"/>
      <c r="G143" s="500"/>
      <c r="H143" s="500"/>
      <c r="I143" s="500"/>
      <c r="J143" s="500"/>
      <c r="K143" s="500"/>
      <c r="L143" s="500"/>
      <c r="M143" s="500"/>
      <c r="N143" s="500"/>
      <c r="O143" s="500"/>
      <c r="P143" s="500"/>
      <c r="Q143" s="500"/>
      <c r="R143" s="500"/>
      <c r="S143" s="500"/>
      <c r="T143" s="500"/>
      <c r="U143" s="500"/>
      <c r="V143" s="500"/>
      <c r="W143" s="500"/>
      <c r="X143" s="500"/>
      <c r="Y143" s="501"/>
    </row>
    <row r="144" spans="1:25" x14ac:dyDescent="0.25">
      <c r="A144" s="513" t="s">
        <v>1079</v>
      </c>
      <c r="B144" s="508"/>
      <c r="C144" s="508"/>
      <c r="D144" s="508"/>
      <c r="E144" s="508"/>
      <c r="F144" s="508"/>
      <c r="G144" s="508"/>
      <c r="H144" s="508"/>
      <c r="I144" s="508"/>
      <c r="J144" s="508"/>
      <c r="K144" s="508"/>
      <c r="L144" s="508"/>
      <c r="M144" s="508"/>
      <c r="N144" s="508"/>
      <c r="O144" s="508"/>
      <c r="P144" s="508"/>
      <c r="Q144" s="508"/>
      <c r="R144" s="508"/>
      <c r="S144" s="508"/>
      <c r="T144" s="508"/>
      <c r="U144" s="508"/>
      <c r="V144" s="508"/>
      <c r="W144" s="508"/>
      <c r="X144" s="508"/>
      <c r="Y144" s="509"/>
    </row>
    <row r="145" spans="1:25" ht="105.6" x14ac:dyDescent="0.25">
      <c r="A145" s="425" t="s">
        <v>1080</v>
      </c>
      <c r="B145" s="418" t="s">
        <v>1081</v>
      </c>
      <c r="C145" s="418" t="s">
        <v>1082</v>
      </c>
      <c r="D145" s="419">
        <v>87901.4</v>
      </c>
      <c r="E145" s="419">
        <v>60954.9</v>
      </c>
      <c r="F145" s="419">
        <v>69.3</v>
      </c>
      <c r="G145" s="419">
        <v>30413.3</v>
      </c>
      <c r="H145" s="419">
        <v>21596.1</v>
      </c>
      <c r="I145" s="419">
        <v>57488.1</v>
      </c>
      <c r="J145" s="419">
        <v>39358.800000000003</v>
      </c>
      <c r="K145" s="419">
        <v>0</v>
      </c>
      <c r="L145" s="419">
        <v>0</v>
      </c>
      <c r="M145" s="419">
        <v>0</v>
      </c>
      <c r="N145" s="419">
        <v>0</v>
      </c>
      <c r="O145" s="419">
        <v>60964.9</v>
      </c>
      <c r="P145" s="418" t="s">
        <v>1083</v>
      </c>
      <c r="Q145" s="417"/>
      <c r="R145" s="417"/>
      <c r="S145" s="417" t="s">
        <v>1084</v>
      </c>
      <c r="T145" s="417" t="s">
        <v>1085</v>
      </c>
      <c r="U145" s="417" t="s">
        <v>1086</v>
      </c>
      <c r="V145" s="417" t="s">
        <v>1087</v>
      </c>
      <c r="W145" s="417"/>
      <c r="X145" s="417"/>
      <c r="Y145" s="427" t="s">
        <v>1088</v>
      </c>
    </row>
    <row r="146" spans="1:25" x14ac:dyDescent="0.25">
      <c r="A146" s="499" t="s">
        <v>1089</v>
      </c>
      <c r="B146" s="500"/>
      <c r="C146" s="500"/>
      <c r="D146" s="500"/>
      <c r="E146" s="500"/>
      <c r="F146" s="500"/>
      <c r="G146" s="500"/>
      <c r="H146" s="500"/>
      <c r="I146" s="500"/>
      <c r="J146" s="500"/>
      <c r="K146" s="500"/>
      <c r="L146" s="500"/>
      <c r="M146" s="500"/>
      <c r="N146" s="500"/>
      <c r="O146" s="500"/>
      <c r="P146" s="500"/>
      <c r="Q146" s="500"/>
      <c r="R146" s="500"/>
      <c r="S146" s="500"/>
      <c r="T146" s="500"/>
      <c r="U146" s="500"/>
      <c r="V146" s="500"/>
      <c r="W146" s="500"/>
      <c r="X146" s="500"/>
      <c r="Y146" s="501"/>
    </row>
    <row r="147" spans="1:25" x14ac:dyDescent="0.25">
      <c r="A147" s="505" t="s">
        <v>1090</v>
      </c>
      <c r="B147" s="508"/>
      <c r="C147" s="508"/>
      <c r="D147" s="508"/>
      <c r="E147" s="508"/>
      <c r="F147" s="508"/>
      <c r="G147" s="508"/>
      <c r="H147" s="508"/>
      <c r="I147" s="508"/>
      <c r="J147" s="508"/>
      <c r="K147" s="508"/>
      <c r="L147" s="508"/>
      <c r="M147" s="508"/>
      <c r="N147" s="508"/>
      <c r="O147" s="508"/>
      <c r="P147" s="508"/>
      <c r="Q147" s="508"/>
      <c r="R147" s="508"/>
      <c r="S147" s="508"/>
      <c r="T147" s="508"/>
      <c r="U147" s="508"/>
      <c r="V147" s="508"/>
      <c r="W147" s="508"/>
      <c r="X147" s="508"/>
      <c r="Y147" s="509"/>
    </row>
    <row r="148" spans="1:25" ht="52.8" x14ac:dyDescent="0.25">
      <c r="A148" s="425" t="s">
        <v>789</v>
      </c>
      <c r="B148" s="418" t="s">
        <v>1091</v>
      </c>
      <c r="C148" s="418"/>
      <c r="D148" s="419">
        <v>0</v>
      </c>
      <c r="E148" s="419">
        <v>0</v>
      </c>
      <c r="F148" s="419">
        <v>0</v>
      </c>
      <c r="G148" s="419">
        <v>0</v>
      </c>
      <c r="H148" s="419">
        <v>0</v>
      </c>
      <c r="I148" s="419">
        <v>0</v>
      </c>
      <c r="J148" s="419">
        <v>0</v>
      </c>
      <c r="K148" s="419">
        <v>0</v>
      </c>
      <c r="L148" s="419">
        <v>0</v>
      </c>
      <c r="M148" s="419">
        <v>0</v>
      </c>
      <c r="N148" s="419">
        <v>0</v>
      </c>
      <c r="O148" s="419">
        <v>0</v>
      </c>
      <c r="P148" s="418" t="s">
        <v>1092</v>
      </c>
      <c r="Q148" s="417" t="s">
        <v>30</v>
      </c>
      <c r="R148" s="417"/>
      <c r="S148" s="417" t="s">
        <v>1008</v>
      </c>
      <c r="T148" s="417" t="s">
        <v>107</v>
      </c>
      <c r="U148" s="417" t="s">
        <v>107</v>
      </c>
      <c r="V148" s="417" t="s">
        <v>107</v>
      </c>
      <c r="W148" s="417"/>
      <c r="X148" s="417"/>
      <c r="Y148" s="427" t="s">
        <v>1093</v>
      </c>
    </row>
    <row r="149" spans="1:25" ht="79.2" x14ac:dyDescent="0.25">
      <c r="A149" s="425" t="s">
        <v>795</v>
      </c>
      <c r="B149" s="418" t="s">
        <v>1094</v>
      </c>
      <c r="C149" s="418"/>
      <c r="D149" s="419">
        <v>0</v>
      </c>
      <c r="E149" s="419">
        <v>0</v>
      </c>
      <c r="F149" s="419">
        <v>0</v>
      </c>
      <c r="G149" s="419">
        <v>0</v>
      </c>
      <c r="H149" s="419">
        <v>0</v>
      </c>
      <c r="I149" s="419">
        <v>0</v>
      </c>
      <c r="J149" s="419">
        <v>0</v>
      </c>
      <c r="K149" s="419">
        <v>0</v>
      </c>
      <c r="L149" s="419">
        <v>0</v>
      </c>
      <c r="M149" s="419">
        <v>0</v>
      </c>
      <c r="N149" s="419">
        <v>0</v>
      </c>
      <c r="O149" s="419">
        <v>0</v>
      </c>
      <c r="P149" s="418" t="s">
        <v>1092</v>
      </c>
      <c r="Q149" s="417"/>
      <c r="R149" s="417"/>
      <c r="S149" s="417" t="s">
        <v>1008</v>
      </c>
      <c r="T149" s="417" t="s">
        <v>107</v>
      </c>
      <c r="U149" s="417" t="s">
        <v>107</v>
      </c>
      <c r="V149" s="417" t="s">
        <v>107</v>
      </c>
      <c r="W149" s="417"/>
      <c r="X149" s="417"/>
      <c r="Y149" s="427" t="s">
        <v>1095</v>
      </c>
    </row>
    <row r="150" spans="1:25" x14ac:dyDescent="0.25">
      <c r="A150" s="513" t="s">
        <v>1096</v>
      </c>
      <c r="B150" s="508"/>
      <c r="C150" s="508"/>
      <c r="D150" s="508"/>
      <c r="E150" s="508"/>
      <c r="F150" s="508"/>
      <c r="G150" s="508"/>
      <c r="H150" s="508"/>
      <c r="I150" s="508"/>
      <c r="J150" s="508"/>
      <c r="K150" s="508"/>
      <c r="L150" s="508"/>
      <c r="M150" s="508"/>
      <c r="N150" s="508"/>
      <c r="O150" s="508"/>
      <c r="P150" s="508"/>
      <c r="Q150" s="508"/>
      <c r="R150" s="508"/>
      <c r="S150" s="508"/>
      <c r="T150" s="508"/>
      <c r="U150" s="508"/>
      <c r="V150" s="508"/>
      <c r="W150" s="508"/>
      <c r="X150" s="508"/>
      <c r="Y150" s="509"/>
    </row>
    <row r="151" spans="1:25" ht="52.8" x14ac:dyDescent="0.25">
      <c r="A151" s="425" t="s">
        <v>762</v>
      </c>
      <c r="B151" s="418" t="s">
        <v>1097</v>
      </c>
      <c r="C151" s="418"/>
      <c r="D151" s="419">
        <v>0</v>
      </c>
      <c r="E151" s="419">
        <v>0</v>
      </c>
      <c r="F151" s="419">
        <v>0</v>
      </c>
      <c r="G151" s="419">
        <v>0</v>
      </c>
      <c r="H151" s="419">
        <v>0</v>
      </c>
      <c r="I151" s="419">
        <v>0</v>
      </c>
      <c r="J151" s="419">
        <v>0</v>
      </c>
      <c r="K151" s="419">
        <v>0</v>
      </c>
      <c r="L151" s="419">
        <v>0</v>
      </c>
      <c r="M151" s="419">
        <v>0</v>
      </c>
      <c r="N151" s="419">
        <v>0</v>
      </c>
      <c r="O151" s="419">
        <v>0</v>
      </c>
      <c r="P151" s="418" t="s">
        <v>1098</v>
      </c>
      <c r="Q151" s="417" t="s">
        <v>204</v>
      </c>
      <c r="R151" s="417" t="s">
        <v>216</v>
      </c>
      <c r="S151" s="417" t="s">
        <v>1099</v>
      </c>
      <c r="T151" s="417" t="s">
        <v>1100</v>
      </c>
      <c r="U151" s="417" t="s">
        <v>1101</v>
      </c>
      <c r="V151" s="417" t="s">
        <v>966</v>
      </c>
      <c r="W151" s="417"/>
      <c r="X151" s="417"/>
      <c r="Y151" s="427" t="s">
        <v>1102</v>
      </c>
    </row>
    <row r="152" spans="1:25" ht="52.8" x14ac:dyDescent="0.25">
      <c r="A152" s="425" t="s">
        <v>754</v>
      </c>
      <c r="B152" s="418" t="s">
        <v>1103</v>
      </c>
      <c r="C152" s="418" t="s">
        <v>1104</v>
      </c>
      <c r="D152" s="419">
        <v>120</v>
      </c>
      <c r="E152" s="419">
        <v>0</v>
      </c>
      <c r="F152" s="419">
        <v>0</v>
      </c>
      <c r="G152" s="419">
        <v>0</v>
      </c>
      <c r="H152" s="419">
        <v>0</v>
      </c>
      <c r="I152" s="419">
        <v>120</v>
      </c>
      <c r="J152" s="419">
        <v>0</v>
      </c>
      <c r="K152" s="419">
        <v>0</v>
      </c>
      <c r="L152" s="419">
        <v>0</v>
      </c>
      <c r="M152" s="419">
        <v>0</v>
      </c>
      <c r="N152" s="419">
        <v>0</v>
      </c>
      <c r="O152" s="419">
        <v>0</v>
      </c>
      <c r="P152" s="418" t="s">
        <v>1105</v>
      </c>
      <c r="Q152" s="417" t="s">
        <v>14</v>
      </c>
      <c r="R152" s="417" t="s">
        <v>14</v>
      </c>
      <c r="S152" s="417" t="s">
        <v>15</v>
      </c>
      <c r="T152" s="417" t="s">
        <v>14</v>
      </c>
      <c r="U152" s="417" t="s">
        <v>16</v>
      </c>
      <c r="V152" s="417" t="s">
        <v>14</v>
      </c>
      <c r="W152" s="417"/>
      <c r="X152" s="417"/>
      <c r="Y152" s="427" t="s">
        <v>1106</v>
      </c>
    </row>
    <row r="153" spans="1:25" ht="66" x14ac:dyDescent="0.25">
      <c r="A153" s="425" t="s">
        <v>932</v>
      </c>
      <c r="B153" s="418" t="s">
        <v>1107</v>
      </c>
      <c r="C153" s="418" t="s">
        <v>1104</v>
      </c>
      <c r="D153" s="419">
        <v>0</v>
      </c>
      <c r="E153" s="419">
        <v>0</v>
      </c>
      <c r="F153" s="419">
        <v>0</v>
      </c>
      <c r="G153" s="419">
        <v>0</v>
      </c>
      <c r="H153" s="419">
        <v>0</v>
      </c>
      <c r="I153" s="419">
        <v>0</v>
      </c>
      <c r="J153" s="419">
        <v>0</v>
      </c>
      <c r="K153" s="419">
        <v>0</v>
      </c>
      <c r="L153" s="419">
        <v>0</v>
      </c>
      <c r="M153" s="419">
        <v>0</v>
      </c>
      <c r="N153" s="419">
        <v>0</v>
      </c>
      <c r="O153" s="419">
        <v>0</v>
      </c>
      <c r="P153" s="418" t="s">
        <v>1108</v>
      </c>
      <c r="Q153" s="417" t="s">
        <v>591</v>
      </c>
      <c r="R153" s="417" t="s">
        <v>1109</v>
      </c>
      <c r="S153" s="417" t="s">
        <v>593</v>
      </c>
      <c r="T153" s="417" t="s">
        <v>593</v>
      </c>
      <c r="U153" s="417" t="s">
        <v>676</v>
      </c>
      <c r="V153" s="417" t="s">
        <v>593</v>
      </c>
      <c r="W153" s="417"/>
      <c r="X153" s="417"/>
      <c r="Y153" s="427" t="s">
        <v>1110</v>
      </c>
    </row>
    <row r="154" spans="1:25" hidden="1" x14ac:dyDescent="0.25">
      <c r="A154" s="513" t="s">
        <v>1111</v>
      </c>
      <c r="B154" s="508"/>
      <c r="C154" s="508"/>
      <c r="D154" s="508"/>
      <c r="E154" s="508"/>
      <c r="F154" s="508"/>
      <c r="G154" s="508"/>
      <c r="H154" s="508"/>
      <c r="I154" s="508"/>
      <c r="J154" s="508"/>
      <c r="K154" s="508"/>
      <c r="L154" s="508"/>
      <c r="M154" s="508"/>
      <c r="N154" s="508"/>
      <c r="O154" s="508"/>
      <c r="P154" s="508"/>
      <c r="Q154" s="508"/>
      <c r="R154" s="508"/>
      <c r="S154" s="508"/>
      <c r="T154" s="508"/>
      <c r="U154" s="508"/>
      <c r="V154" s="508"/>
      <c r="W154" s="508"/>
      <c r="X154" s="508"/>
      <c r="Y154" s="509"/>
    </row>
    <row r="155" spans="1:25" ht="66" hidden="1" x14ac:dyDescent="0.25">
      <c r="A155" s="428" t="s">
        <v>762</v>
      </c>
      <c r="B155" s="415" t="s">
        <v>1112</v>
      </c>
      <c r="C155" s="415" t="s">
        <v>1113</v>
      </c>
      <c r="D155" s="416">
        <v>119362.7</v>
      </c>
      <c r="E155" s="416">
        <v>60944.6</v>
      </c>
      <c r="F155" s="416">
        <v>51.1</v>
      </c>
      <c r="G155" s="416">
        <v>119362.7</v>
      </c>
      <c r="H155" s="416">
        <v>60944.6</v>
      </c>
      <c r="I155" s="416">
        <v>0</v>
      </c>
      <c r="J155" s="416">
        <v>0</v>
      </c>
      <c r="K155" s="416">
        <v>0</v>
      </c>
      <c r="L155" s="416">
        <v>0</v>
      </c>
      <c r="M155" s="416">
        <v>0</v>
      </c>
      <c r="N155" s="416">
        <v>0</v>
      </c>
      <c r="O155" s="416">
        <v>60944.5</v>
      </c>
      <c r="P155" s="415" t="s">
        <v>1114</v>
      </c>
      <c r="Q155" s="413" t="s">
        <v>1058</v>
      </c>
      <c r="R155" s="413" t="s">
        <v>1058</v>
      </c>
      <c r="S155" s="413" t="s">
        <v>1115</v>
      </c>
      <c r="T155" s="413" t="s">
        <v>1058</v>
      </c>
      <c r="U155" s="413" t="s">
        <v>700</v>
      </c>
      <c r="V155" s="413" t="s">
        <v>1058</v>
      </c>
      <c r="W155" s="413"/>
      <c r="X155" s="413"/>
      <c r="Y155" s="429" t="s">
        <v>1116</v>
      </c>
    </row>
    <row r="156" spans="1:25" x14ac:dyDescent="0.25">
      <c r="A156" s="499" t="s">
        <v>1117</v>
      </c>
      <c r="B156" s="500"/>
      <c r="C156" s="500"/>
      <c r="D156" s="500"/>
      <c r="E156" s="500"/>
      <c r="F156" s="500"/>
      <c r="G156" s="500"/>
      <c r="H156" s="500"/>
      <c r="I156" s="500"/>
      <c r="J156" s="500"/>
      <c r="K156" s="500"/>
      <c r="L156" s="500"/>
      <c r="M156" s="500"/>
      <c r="N156" s="500"/>
      <c r="O156" s="500"/>
      <c r="P156" s="500"/>
      <c r="Q156" s="500"/>
      <c r="R156" s="500"/>
      <c r="S156" s="500"/>
      <c r="T156" s="500"/>
      <c r="U156" s="500"/>
      <c r="V156" s="500"/>
      <c r="W156" s="500"/>
      <c r="X156" s="500"/>
      <c r="Y156" s="501"/>
    </row>
    <row r="157" spans="1:25" ht="52.5" customHeight="1" x14ac:dyDescent="0.25">
      <c r="A157" s="425" t="s">
        <v>762</v>
      </c>
      <c r="B157" s="418" t="s">
        <v>1118</v>
      </c>
      <c r="C157" s="418" t="s">
        <v>1119</v>
      </c>
      <c r="D157" s="419">
        <v>79692.100000000006</v>
      </c>
      <c r="E157" s="419">
        <v>37743.800000000003</v>
      </c>
      <c r="F157" s="419">
        <v>47.4</v>
      </c>
      <c r="G157" s="419">
        <v>6692.1</v>
      </c>
      <c r="H157" s="419">
        <v>4972.3999999999996</v>
      </c>
      <c r="I157" s="419">
        <v>24000</v>
      </c>
      <c r="J157" s="419">
        <v>19271.400000000001</v>
      </c>
      <c r="K157" s="419">
        <v>3000</v>
      </c>
      <c r="L157" s="419">
        <v>0</v>
      </c>
      <c r="M157" s="419">
        <v>46000</v>
      </c>
      <c r="N157" s="419">
        <v>13500</v>
      </c>
      <c r="O157" s="419">
        <v>37743.800000000003</v>
      </c>
      <c r="P157" s="418" t="s">
        <v>1120</v>
      </c>
      <c r="Q157" s="417"/>
      <c r="R157" s="417"/>
      <c r="S157" s="417"/>
      <c r="T157" s="417"/>
      <c r="U157" s="417" t="s">
        <v>1121</v>
      </c>
      <c r="V157" s="417" t="s">
        <v>1122</v>
      </c>
      <c r="W157" s="417"/>
      <c r="X157" s="417"/>
      <c r="Y157" s="514" t="s">
        <v>1123</v>
      </c>
    </row>
    <row r="158" spans="1:25" ht="53.4" thickBot="1" x14ac:dyDescent="0.3">
      <c r="A158" s="434" t="s">
        <v>754</v>
      </c>
      <c r="B158" s="435" t="s">
        <v>1124</v>
      </c>
      <c r="C158" s="435" t="s">
        <v>1119</v>
      </c>
      <c r="D158" s="436">
        <v>60115.1</v>
      </c>
      <c r="E158" s="436">
        <v>41319.699999999997</v>
      </c>
      <c r="F158" s="436">
        <v>68.7</v>
      </c>
      <c r="G158" s="436">
        <v>15615.1</v>
      </c>
      <c r="H158" s="436">
        <v>12458.5</v>
      </c>
      <c r="I158" s="436">
        <v>18000</v>
      </c>
      <c r="J158" s="436">
        <v>14361.2</v>
      </c>
      <c r="K158" s="436">
        <v>1500</v>
      </c>
      <c r="L158" s="436">
        <v>0</v>
      </c>
      <c r="M158" s="436">
        <v>25000</v>
      </c>
      <c r="N158" s="436">
        <v>14500</v>
      </c>
      <c r="O158" s="436">
        <v>41319.699999999997</v>
      </c>
      <c r="P158" s="435" t="s">
        <v>1125</v>
      </c>
      <c r="Q158" s="437"/>
      <c r="R158" s="437"/>
      <c r="S158" s="437"/>
      <c r="T158" s="437"/>
      <c r="U158" s="437" t="s">
        <v>1126</v>
      </c>
      <c r="V158" s="437" t="s">
        <v>1127</v>
      </c>
      <c r="W158" s="437"/>
      <c r="X158" s="437"/>
      <c r="Y158" s="517"/>
    </row>
    <row r="159" spans="1:25" ht="13.8" thickTop="1" x14ac:dyDescent="0.25"/>
  </sheetData>
  <mergeCells count="87">
    <mergeCell ref="A147:Y147"/>
    <mergeCell ref="A150:Y150"/>
    <mergeCell ref="A154:Y154"/>
    <mergeCell ref="A156:Y156"/>
    <mergeCell ref="Y157:Y158"/>
    <mergeCell ref="A146:Y146"/>
    <mergeCell ref="A121:Y121"/>
    <mergeCell ref="A122:Y122"/>
    <mergeCell ref="A125:Y125"/>
    <mergeCell ref="A127:Y127"/>
    <mergeCell ref="Y130:Y131"/>
    <mergeCell ref="A133:Y133"/>
    <mergeCell ref="Y134:Y135"/>
    <mergeCell ref="A137:Y137"/>
    <mergeCell ref="A141:Y141"/>
    <mergeCell ref="A143:Y143"/>
    <mergeCell ref="A144:Y144"/>
    <mergeCell ref="A119:Y119"/>
    <mergeCell ref="A99:Y99"/>
    <mergeCell ref="A100:Y100"/>
    <mergeCell ref="A103:Y103"/>
    <mergeCell ref="A105:Y105"/>
    <mergeCell ref="Y106:Y107"/>
    <mergeCell ref="A108:Y108"/>
    <mergeCell ref="A111:Y111"/>
    <mergeCell ref="A112:Y112"/>
    <mergeCell ref="Y113:Y114"/>
    <mergeCell ref="Y116:Y117"/>
    <mergeCell ref="A118:Y118"/>
    <mergeCell ref="A97:Y97"/>
    <mergeCell ref="A76:Y76"/>
    <mergeCell ref="A77:Y77"/>
    <mergeCell ref="A80:Y80"/>
    <mergeCell ref="A81:Y81"/>
    <mergeCell ref="A83:Y83"/>
    <mergeCell ref="A85:Y85"/>
    <mergeCell ref="A86:Y86"/>
    <mergeCell ref="A88:X88"/>
    <mergeCell ref="Y92:Y93"/>
    <mergeCell ref="A94:Y94"/>
    <mergeCell ref="Y95:Y96"/>
    <mergeCell ref="A74:Y74"/>
    <mergeCell ref="A52:Y52"/>
    <mergeCell ref="A55:Y55"/>
    <mergeCell ref="A56:Y56"/>
    <mergeCell ref="A59:Y59"/>
    <mergeCell ref="A61:Y61"/>
    <mergeCell ref="A62:Y62"/>
    <mergeCell ref="Y65:Y66"/>
    <mergeCell ref="A67:Y67"/>
    <mergeCell ref="A69:Y69"/>
    <mergeCell ref="A70:Y70"/>
    <mergeCell ref="Y71:Y72"/>
    <mergeCell ref="Y48:Y50"/>
    <mergeCell ref="A24:Y24"/>
    <mergeCell ref="A26:Y26"/>
    <mergeCell ref="Y27:Y28"/>
    <mergeCell ref="A29:Y29"/>
    <mergeCell ref="Y30:Y33"/>
    <mergeCell ref="A34:Y34"/>
    <mergeCell ref="Y35:Y38"/>
    <mergeCell ref="A39:Y39"/>
    <mergeCell ref="A41:Y41"/>
    <mergeCell ref="A46:Y46"/>
    <mergeCell ref="A47:Y47"/>
    <mergeCell ref="A23:Y23"/>
    <mergeCell ref="K6:L6"/>
    <mergeCell ref="M6:N6"/>
    <mergeCell ref="O6:O7"/>
    <mergeCell ref="A8:Y8"/>
    <mergeCell ref="A9:Y9"/>
    <mergeCell ref="A11:Y11"/>
    <mergeCell ref="A13:Y13"/>
    <mergeCell ref="A15:Y15"/>
    <mergeCell ref="A16:Y16"/>
    <mergeCell ref="A19:Y19"/>
    <mergeCell ref="A21:Y21"/>
    <mergeCell ref="A2:Y3"/>
    <mergeCell ref="A5:A7"/>
    <mergeCell ref="B5:B7"/>
    <mergeCell ref="C5:C7"/>
    <mergeCell ref="D5:O5"/>
    <mergeCell ref="P5:X6"/>
    <mergeCell ref="Y5:Y7"/>
    <mergeCell ref="D6:F6"/>
    <mergeCell ref="G6:H6"/>
    <mergeCell ref="I6:J6"/>
  </mergeCells>
  <pageMargins left="0.39370078740157483" right="0.39370078740157483" top="0.74803149606299213" bottom="0.59055118110236227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zoomScale="130" zoomScaleNormal="130" workbookViewId="0">
      <selection activeCell="C7" sqref="C7:C8"/>
    </sheetView>
  </sheetViews>
  <sheetFormatPr defaultColWidth="9.109375" defaultRowHeight="13.2" x14ac:dyDescent="0.25"/>
  <cols>
    <col min="1" max="1" width="21.88671875" style="283" bestFit="1" customWidth="1"/>
    <col min="2" max="2" width="11.33203125" style="284" bestFit="1" customWidth="1"/>
    <col min="3" max="3" width="11.44140625" style="284" customWidth="1"/>
    <col min="4" max="4" width="10.33203125" style="284" bestFit="1" customWidth="1"/>
    <col min="5" max="5" width="11.33203125" style="284" bestFit="1" customWidth="1"/>
    <col min="6" max="7" width="12.33203125" style="284" bestFit="1" customWidth="1"/>
    <col min="8" max="8" width="6.33203125" style="284" bestFit="1" customWidth="1"/>
    <col min="9" max="9" width="8.33203125" style="284" bestFit="1" customWidth="1"/>
    <col min="10" max="11" width="12.33203125" style="284" bestFit="1" customWidth="1"/>
    <col min="12" max="12" width="7.33203125" style="284" bestFit="1" customWidth="1"/>
    <col min="13" max="13" width="8.33203125" style="284" customWidth="1"/>
    <col min="14" max="16384" width="9.109375" style="284"/>
  </cols>
  <sheetData>
    <row r="1" spans="1:13" ht="12.75" customHeight="1" x14ac:dyDescent="0.25">
      <c r="K1" s="519" t="s">
        <v>1144</v>
      </c>
      <c r="L1" s="519"/>
      <c r="M1" s="519"/>
    </row>
    <row r="3" spans="1:13" s="283" customFormat="1" ht="34.5" customHeight="1" x14ac:dyDescent="0.25">
      <c r="A3" s="474" t="s">
        <v>1145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</row>
    <row r="4" spans="1:13" s="283" customFormat="1" ht="21" customHeight="1" thickBot="1" x14ac:dyDescent="0.3">
      <c r="L4" s="518" t="s">
        <v>191</v>
      </c>
      <c r="M4" s="518"/>
    </row>
    <row r="5" spans="1:13" s="282" customFormat="1" ht="13.5" customHeight="1" thickTop="1" x14ac:dyDescent="0.25">
      <c r="A5" s="520" t="s">
        <v>326</v>
      </c>
      <c r="B5" s="475" t="s">
        <v>333</v>
      </c>
      <c r="C5" s="475"/>
      <c r="D5" s="475"/>
      <c r="E5" s="475"/>
      <c r="F5" s="475" t="s">
        <v>327</v>
      </c>
      <c r="G5" s="475"/>
      <c r="H5" s="475"/>
      <c r="I5" s="475"/>
      <c r="J5" s="475" t="s">
        <v>328</v>
      </c>
      <c r="K5" s="475"/>
      <c r="L5" s="475"/>
      <c r="M5" s="476"/>
    </row>
    <row r="6" spans="1:13" s="282" customFormat="1" ht="37.5" customHeight="1" x14ac:dyDescent="0.25">
      <c r="A6" s="521"/>
      <c r="B6" s="477" t="s">
        <v>385</v>
      </c>
      <c r="C6" s="291" t="s">
        <v>8</v>
      </c>
      <c r="D6" s="477" t="s">
        <v>429</v>
      </c>
      <c r="E6" s="477"/>
      <c r="F6" s="477" t="s">
        <v>150</v>
      </c>
      <c r="G6" s="477"/>
      <c r="H6" s="477" t="s">
        <v>447</v>
      </c>
      <c r="I6" s="477"/>
      <c r="J6" s="477" t="s">
        <v>150</v>
      </c>
      <c r="K6" s="477"/>
      <c r="L6" s="477" t="s">
        <v>447</v>
      </c>
      <c r="M6" s="478"/>
    </row>
    <row r="7" spans="1:13" s="282" customFormat="1" ht="12.75" customHeight="1" x14ac:dyDescent="0.25">
      <c r="A7" s="521"/>
      <c r="B7" s="477"/>
      <c r="C7" s="477" t="s">
        <v>329</v>
      </c>
      <c r="D7" s="477" t="s">
        <v>198</v>
      </c>
      <c r="E7" s="280" t="s">
        <v>8</v>
      </c>
      <c r="F7" s="477" t="s">
        <v>198</v>
      </c>
      <c r="G7" s="280" t="s">
        <v>8</v>
      </c>
      <c r="H7" s="477" t="s">
        <v>198</v>
      </c>
      <c r="I7" s="280" t="s">
        <v>8</v>
      </c>
      <c r="J7" s="477" t="s">
        <v>198</v>
      </c>
      <c r="K7" s="280" t="s">
        <v>8</v>
      </c>
      <c r="L7" s="477" t="s">
        <v>198</v>
      </c>
      <c r="M7" s="281" t="s">
        <v>8</v>
      </c>
    </row>
    <row r="8" spans="1:13" s="282" customFormat="1" ht="26.4" x14ac:dyDescent="0.25">
      <c r="A8" s="521"/>
      <c r="B8" s="477"/>
      <c r="C8" s="477"/>
      <c r="D8" s="477"/>
      <c r="E8" s="280" t="s">
        <v>329</v>
      </c>
      <c r="F8" s="477"/>
      <c r="G8" s="280" t="s">
        <v>332</v>
      </c>
      <c r="H8" s="477"/>
      <c r="I8" s="280" t="s">
        <v>329</v>
      </c>
      <c r="J8" s="477"/>
      <c r="K8" s="280" t="s">
        <v>332</v>
      </c>
      <c r="L8" s="477"/>
      <c r="M8" s="281" t="s">
        <v>329</v>
      </c>
    </row>
    <row r="9" spans="1:13" s="250" customFormat="1" ht="10.199999999999999" x14ac:dyDescent="0.25">
      <c r="A9" s="249">
        <v>1</v>
      </c>
      <c r="B9" s="247">
        <v>2</v>
      </c>
      <c r="C9" s="247">
        <v>3</v>
      </c>
      <c r="D9" s="247">
        <v>4</v>
      </c>
      <c r="E9" s="247">
        <v>5</v>
      </c>
      <c r="F9" s="247">
        <v>6</v>
      </c>
      <c r="G9" s="247">
        <v>7</v>
      </c>
      <c r="H9" s="247">
        <v>8</v>
      </c>
      <c r="I9" s="247">
        <v>9</v>
      </c>
      <c r="J9" s="247">
        <v>10</v>
      </c>
      <c r="K9" s="247">
        <v>11</v>
      </c>
      <c r="L9" s="247">
        <v>12</v>
      </c>
      <c r="M9" s="248">
        <v>13</v>
      </c>
    </row>
    <row r="10" spans="1:13" x14ac:dyDescent="0.25">
      <c r="A10" s="285" t="s">
        <v>163</v>
      </c>
      <c r="B10" s="286">
        <v>37019.545899999997</v>
      </c>
      <c r="C10" s="286">
        <v>32447.1224</v>
      </c>
      <c r="D10" s="286">
        <v>34999.541999999994</v>
      </c>
      <c r="E10" s="286">
        <v>31117.9264</v>
      </c>
      <c r="F10" s="286">
        <v>800035.81660000002</v>
      </c>
      <c r="G10" s="286">
        <v>715895.78819999995</v>
      </c>
      <c r="H10" s="286">
        <v>74.300550968092566</v>
      </c>
      <c r="I10" s="286">
        <v>75.505289148092686</v>
      </c>
      <c r="J10" s="286">
        <v>764736.2746</v>
      </c>
      <c r="K10" s="286">
        <v>684777.86190000002</v>
      </c>
      <c r="L10" s="286">
        <v>70.889239647406953</v>
      </c>
      <c r="M10" s="287">
        <v>72.122183890800486</v>
      </c>
    </row>
    <row r="11" spans="1:13" x14ac:dyDescent="0.25">
      <c r="A11" s="285" t="s">
        <v>164</v>
      </c>
      <c r="B11" s="286">
        <v>11366.5398</v>
      </c>
      <c r="C11" s="286">
        <v>8251.6428000000014</v>
      </c>
      <c r="D11" s="286">
        <v>8180.7221000000009</v>
      </c>
      <c r="E11" s="286">
        <v>6937.0928000000013</v>
      </c>
      <c r="F11" s="286">
        <v>350524.76919999998</v>
      </c>
      <c r="G11" s="286">
        <v>325083.69329999998</v>
      </c>
      <c r="H11" s="286">
        <v>72.181990560636734</v>
      </c>
      <c r="I11" s="286">
        <v>72.657354642649395</v>
      </c>
      <c r="J11" s="286">
        <v>342344.04700000002</v>
      </c>
      <c r="K11" s="286">
        <v>318146.6005</v>
      </c>
      <c r="L11" s="286">
        <v>70.037893829250038</v>
      </c>
      <c r="M11" s="287">
        <v>70.898585176104717</v>
      </c>
    </row>
    <row r="12" spans="1:13" x14ac:dyDescent="0.25">
      <c r="A12" s="285" t="s">
        <v>165</v>
      </c>
      <c r="B12" s="286">
        <v>18971.6332</v>
      </c>
      <c r="C12" s="286">
        <v>14897.9702</v>
      </c>
      <c r="D12" s="286">
        <v>18285.120699999999</v>
      </c>
      <c r="E12" s="286">
        <v>14876.903200000001</v>
      </c>
      <c r="F12" s="286">
        <v>262167.66409999999</v>
      </c>
      <c r="G12" s="286">
        <v>240167.89980000001</v>
      </c>
      <c r="H12" s="286">
        <v>75.831311163649943</v>
      </c>
      <c r="I12" s="286">
        <v>76.015438173229754</v>
      </c>
      <c r="J12" s="286">
        <v>243920.90610000002</v>
      </c>
      <c r="K12" s="286">
        <v>225290.99650000001</v>
      </c>
      <c r="L12" s="286">
        <v>70.497677106844563</v>
      </c>
      <c r="M12" s="287">
        <v>71.302001587840991</v>
      </c>
    </row>
    <row r="13" spans="1:13" x14ac:dyDescent="0.25">
      <c r="A13" s="285" t="s">
        <v>166</v>
      </c>
      <c r="B13" s="286">
        <v>41875.746500000001</v>
      </c>
      <c r="C13" s="286">
        <v>39330.650800000003</v>
      </c>
      <c r="D13" s="286">
        <v>37329.923300000002</v>
      </c>
      <c r="E13" s="286">
        <v>36125.201500000003</v>
      </c>
      <c r="F13" s="286">
        <v>345359.24050000001</v>
      </c>
      <c r="G13" s="286">
        <v>325514.4031</v>
      </c>
      <c r="H13" s="186">
        <v>77.835041176857942</v>
      </c>
      <c r="I13" s="186">
        <v>78.974492253664451</v>
      </c>
      <c r="J13" s="286">
        <v>308029.31709999999</v>
      </c>
      <c r="K13" s="286">
        <v>289389.20160000003</v>
      </c>
      <c r="L13" s="286">
        <v>68.738255292800147</v>
      </c>
      <c r="M13" s="287">
        <v>69.668195603823719</v>
      </c>
    </row>
    <row r="14" spans="1:13" x14ac:dyDescent="0.25">
      <c r="A14" s="285" t="s">
        <v>167</v>
      </c>
      <c r="B14" s="286">
        <v>17555.619200000001</v>
      </c>
      <c r="C14" s="286">
        <v>15378.238800000001</v>
      </c>
      <c r="D14" s="286">
        <v>16197.2929</v>
      </c>
      <c r="E14" s="286">
        <v>15276.751200000001</v>
      </c>
      <c r="F14" s="286">
        <v>341073.94540000003</v>
      </c>
      <c r="G14" s="286">
        <v>317808.13540000003</v>
      </c>
      <c r="H14" s="286">
        <v>75.423621438127768</v>
      </c>
      <c r="I14" s="286">
        <v>76.122297598927403</v>
      </c>
      <c r="J14" s="286">
        <v>324876.65249999997</v>
      </c>
      <c r="K14" s="286">
        <v>302031.38419999997</v>
      </c>
      <c r="L14" s="286">
        <v>71.62667372942461</v>
      </c>
      <c r="M14" s="287">
        <v>72.325824428639052</v>
      </c>
    </row>
    <row r="15" spans="1:13" x14ac:dyDescent="0.25">
      <c r="A15" s="285" t="s">
        <v>168</v>
      </c>
      <c r="B15" s="286">
        <v>7628.8539000000001</v>
      </c>
      <c r="C15" s="286">
        <v>4987.0887000000002</v>
      </c>
      <c r="D15" s="286">
        <v>6797.0573000000004</v>
      </c>
      <c r="E15" s="286">
        <v>4687.6307000000006</v>
      </c>
      <c r="F15" s="286">
        <v>415634.80939999997</v>
      </c>
      <c r="G15" s="286">
        <v>383967.8027</v>
      </c>
      <c r="H15" s="286">
        <v>67.538464906002261</v>
      </c>
      <c r="I15" s="286">
        <v>69.434753730245447</v>
      </c>
      <c r="J15" s="286">
        <v>408837.75209999998</v>
      </c>
      <c r="K15" s="286">
        <v>379280.17199999996</v>
      </c>
      <c r="L15" s="286">
        <v>66.344661488441375</v>
      </c>
      <c r="M15" s="287">
        <v>68.549945345983673</v>
      </c>
    </row>
    <row r="16" spans="1:13" x14ac:dyDescent="0.25">
      <c r="A16" s="285" t="s">
        <v>169</v>
      </c>
      <c r="B16" s="286">
        <v>19120.1783</v>
      </c>
      <c r="C16" s="286">
        <v>9509.8787000000011</v>
      </c>
      <c r="D16" s="286">
        <v>17873.414400000001</v>
      </c>
      <c r="E16" s="286">
        <v>9456.0219000000016</v>
      </c>
      <c r="F16" s="286">
        <v>332644.09460000001</v>
      </c>
      <c r="G16" s="286">
        <v>298364.52720000001</v>
      </c>
      <c r="H16" s="286">
        <v>75.815048622917061</v>
      </c>
      <c r="I16" s="286">
        <v>76.099152190388679</v>
      </c>
      <c r="J16" s="286">
        <v>314876.576</v>
      </c>
      <c r="K16" s="286">
        <v>289014.40120000002</v>
      </c>
      <c r="L16" s="286">
        <v>71.562189872285444</v>
      </c>
      <c r="M16" s="370">
        <v>73.704238141612223</v>
      </c>
    </row>
    <row r="17" spans="1:13" x14ac:dyDescent="0.25">
      <c r="A17" s="285" t="s">
        <v>170</v>
      </c>
      <c r="B17" s="286">
        <v>6831.6088999999993</v>
      </c>
      <c r="C17" s="286">
        <v>4037.9620999999997</v>
      </c>
      <c r="D17" s="286">
        <v>5276.9249999999993</v>
      </c>
      <c r="E17" s="286">
        <v>4037.9620999999997</v>
      </c>
      <c r="F17" s="286">
        <v>307588.67340000003</v>
      </c>
      <c r="G17" s="286">
        <v>280502.07250000001</v>
      </c>
      <c r="H17" s="286">
        <v>71.508629745455067</v>
      </c>
      <c r="I17" s="286">
        <v>71.319933556755885</v>
      </c>
      <c r="J17" s="286">
        <v>302311.74829999998</v>
      </c>
      <c r="K17" s="286">
        <v>276464.1103</v>
      </c>
      <c r="L17" s="286">
        <v>70.028734714740111</v>
      </c>
      <c r="M17" s="287">
        <v>70.293248822336707</v>
      </c>
    </row>
    <row r="18" spans="1:13" x14ac:dyDescent="0.25">
      <c r="A18" s="285" t="s">
        <v>171</v>
      </c>
      <c r="B18" s="286">
        <v>23053.479800000001</v>
      </c>
      <c r="C18" s="286">
        <v>20723.5952</v>
      </c>
      <c r="D18" s="286">
        <v>22373.888600000002</v>
      </c>
      <c r="E18" s="286">
        <v>20575.076700000001</v>
      </c>
      <c r="F18" s="286">
        <v>326708.33360000001</v>
      </c>
      <c r="G18" s="286">
        <v>311763.94589999999</v>
      </c>
      <c r="H18" s="286">
        <v>75.250504745778457</v>
      </c>
      <c r="I18" s="286">
        <v>76.03448743439688</v>
      </c>
      <c r="J18" s="286">
        <v>304334.17499999999</v>
      </c>
      <c r="K18" s="286">
        <v>291188.86920000002</v>
      </c>
      <c r="L18" s="286">
        <v>69.987565165076902</v>
      </c>
      <c r="M18" s="287">
        <v>70.990864046394961</v>
      </c>
    </row>
    <row r="19" spans="1:13" x14ac:dyDescent="0.25">
      <c r="A19" s="285" t="s">
        <v>172</v>
      </c>
      <c r="B19" s="286">
        <v>19057.495200000001</v>
      </c>
      <c r="C19" s="286">
        <v>18454.413</v>
      </c>
      <c r="D19" s="286">
        <v>14020.164800000002</v>
      </c>
      <c r="E19" s="286">
        <v>13522.514999999999</v>
      </c>
      <c r="F19" s="286">
        <v>204341.40119999999</v>
      </c>
      <c r="G19" s="286">
        <v>195883.2187</v>
      </c>
      <c r="H19" s="186">
        <v>77.182872396053995</v>
      </c>
      <c r="I19" s="286">
        <v>78.406931746385595</v>
      </c>
      <c r="J19" s="286">
        <v>190321.23630000002</v>
      </c>
      <c r="K19" s="286">
        <v>182360.70360000001</v>
      </c>
      <c r="L19" s="286">
        <v>70.545547044598749</v>
      </c>
      <c r="M19" s="287">
        <v>71.581132302965855</v>
      </c>
    </row>
    <row r="20" spans="1:13" x14ac:dyDescent="0.25">
      <c r="A20" s="285" t="s">
        <v>173</v>
      </c>
      <c r="B20" s="286">
        <v>8075.3387999999995</v>
      </c>
      <c r="C20" s="286">
        <v>6494.5113000000001</v>
      </c>
      <c r="D20" s="286">
        <v>7706.9767999999995</v>
      </c>
      <c r="E20" s="286">
        <v>6272.2148999999999</v>
      </c>
      <c r="F20" s="286">
        <v>259217.3014</v>
      </c>
      <c r="G20" s="286">
        <v>243456.8486</v>
      </c>
      <c r="H20" s="286">
        <v>73.329915008756444</v>
      </c>
      <c r="I20" s="286">
        <v>73.815410185563252</v>
      </c>
      <c r="J20" s="286">
        <v>251510.32459999999</v>
      </c>
      <c r="K20" s="286">
        <v>237184.6336</v>
      </c>
      <c r="L20" s="286">
        <v>71.112981566817695</v>
      </c>
      <c r="M20" s="287">
        <v>71.904543616765409</v>
      </c>
    </row>
    <row r="21" spans="1:13" x14ac:dyDescent="0.25">
      <c r="A21" s="285" t="s">
        <v>174</v>
      </c>
      <c r="B21" s="286">
        <v>3637.3263999999999</v>
      </c>
      <c r="C21" s="286">
        <v>1744.3649</v>
      </c>
      <c r="D21" s="286">
        <v>2899.415</v>
      </c>
      <c r="E21" s="286">
        <v>1744.3649</v>
      </c>
      <c r="F21" s="286">
        <v>420679.90870000003</v>
      </c>
      <c r="G21" s="286">
        <v>386729.0123</v>
      </c>
      <c r="H21" s="286">
        <v>71.896561669637023</v>
      </c>
      <c r="I21" s="286">
        <v>72.544195726852152</v>
      </c>
      <c r="J21" s="286">
        <v>417780.4938</v>
      </c>
      <c r="K21" s="286">
        <v>384984.64749999996</v>
      </c>
      <c r="L21" s="286">
        <v>71.312376794019968</v>
      </c>
      <c r="M21" s="287">
        <v>72.216980706914441</v>
      </c>
    </row>
    <row r="22" spans="1:13" x14ac:dyDescent="0.25">
      <c r="A22" s="285" t="s">
        <v>175</v>
      </c>
      <c r="B22" s="286">
        <v>23905.382900000001</v>
      </c>
      <c r="C22" s="286">
        <v>21721.9836</v>
      </c>
      <c r="D22" s="286">
        <v>12130.515800000001</v>
      </c>
      <c r="E22" s="286">
        <v>10483.1024</v>
      </c>
      <c r="F22" s="286">
        <v>492436.97100000002</v>
      </c>
      <c r="G22" s="286">
        <v>450983.43579999998</v>
      </c>
      <c r="H22" s="286">
        <v>75.882849175194821</v>
      </c>
      <c r="I22" s="286">
        <v>76.158114522452706</v>
      </c>
      <c r="J22" s="286">
        <v>479836.43859999999</v>
      </c>
      <c r="K22" s="286">
        <v>440030.31679999997</v>
      </c>
      <c r="L22" s="186">
        <v>72.623422517887889</v>
      </c>
      <c r="M22" s="287">
        <v>72.924398927015858</v>
      </c>
    </row>
    <row r="23" spans="1:13" x14ac:dyDescent="0.25">
      <c r="A23" s="285" t="s">
        <v>176</v>
      </c>
      <c r="B23" s="286">
        <v>40660.432099999998</v>
      </c>
      <c r="C23" s="286">
        <v>37175.431799999998</v>
      </c>
      <c r="D23" s="286">
        <v>30790.467799999999</v>
      </c>
      <c r="E23" s="286">
        <v>31081.081999999999</v>
      </c>
      <c r="F23" s="286">
        <v>630501.06140000001</v>
      </c>
      <c r="G23" s="286">
        <v>599579.73829999997</v>
      </c>
      <c r="H23" s="286">
        <v>70.75240044115175</v>
      </c>
      <c r="I23" s="286">
        <v>71.017146292149775</v>
      </c>
      <c r="J23" s="286">
        <v>599710.59360000002</v>
      </c>
      <c r="K23" s="286">
        <v>568498.65630000003</v>
      </c>
      <c r="L23" s="286">
        <v>66.570708914228689</v>
      </c>
      <c r="M23" s="287">
        <v>66.853175499815265</v>
      </c>
    </row>
    <row r="24" spans="1:13" x14ac:dyDescent="0.25">
      <c r="A24" s="285" t="s">
        <v>177</v>
      </c>
      <c r="B24" s="286">
        <v>78663.89959999999</v>
      </c>
      <c r="C24" s="286">
        <v>73872.939799999993</v>
      </c>
      <c r="D24" s="286">
        <v>40826.265799999986</v>
      </c>
      <c r="E24" s="286">
        <v>37239.479599999991</v>
      </c>
      <c r="F24" s="286">
        <v>621801.54239999992</v>
      </c>
      <c r="G24" s="286">
        <v>566020.18079999997</v>
      </c>
      <c r="H24" s="286">
        <v>71.609190922099174</v>
      </c>
      <c r="I24" s="286">
        <v>71.998299309179714</v>
      </c>
      <c r="J24" s="286">
        <v>580975.27649999992</v>
      </c>
      <c r="K24" s="286">
        <v>528780.70120000001</v>
      </c>
      <c r="L24" s="286">
        <v>66.907472334870576</v>
      </c>
      <c r="M24" s="287">
        <v>67.261402482339776</v>
      </c>
    </row>
    <row r="25" spans="1:13" x14ac:dyDescent="0.25">
      <c r="A25" s="285" t="s">
        <v>178</v>
      </c>
      <c r="B25" s="286">
        <v>31653.804199999999</v>
      </c>
      <c r="C25" s="286">
        <v>29172.552</v>
      </c>
      <c r="D25" s="286">
        <v>22726.492899999997</v>
      </c>
      <c r="E25" s="286">
        <v>22369.866399999999</v>
      </c>
      <c r="F25" s="286">
        <v>509173.38080000004</v>
      </c>
      <c r="G25" s="286">
        <v>472384.0232</v>
      </c>
      <c r="H25" s="286">
        <v>68.4321064793034</v>
      </c>
      <c r="I25" s="286">
        <v>68.04103966583088</v>
      </c>
      <c r="J25" s="286">
        <v>487028.45660000003</v>
      </c>
      <c r="K25" s="286">
        <v>450273.2439</v>
      </c>
      <c r="L25" s="286">
        <v>64.679416172955584</v>
      </c>
      <c r="M25" s="287">
        <v>64.225619188301494</v>
      </c>
    </row>
    <row r="26" spans="1:13" x14ac:dyDescent="0.25">
      <c r="A26" s="285" t="s">
        <v>179</v>
      </c>
      <c r="B26" s="286">
        <v>55187.925100000008</v>
      </c>
      <c r="C26" s="286">
        <v>51322.469400000002</v>
      </c>
      <c r="D26" s="286">
        <v>51855.01460000001</v>
      </c>
      <c r="E26" s="286">
        <v>48992.371899999998</v>
      </c>
      <c r="F26" s="286">
        <v>707406.12439999997</v>
      </c>
      <c r="G26" s="286">
        <v>653704.41740000003</v>
      </c>
      <c r="H26" s="186">
        <v>78.927322995354785</v>
      </c>
      <c r="I26" s="186">
        <v>80.432802760805359</v>
      </c>
      <c r="J26" s="286">
        <v>655551.10969999991</v>
      </c>
      <c r="K26" s="286">
        <v>604712.04550000001</v>
      </c>
      <c r="L26" s="186">
        <v>72.887948217877693</v>
      </c>
      <c r="M26" s="370">
        <v>74.191997965237817</v>
      </c>
    </row>
    <row r="27" spans="1:13" x14ac:dyDescent="0.25">
      <c r="A27" s="285" t="s">
        <v>180</v>
      </c>
      <c r="B27" s="286">
        <v>44284.094899999996</v>
      </c>
      <c r="C27" s="286">
        <v>39265.99</v>
      </c>
      <c r="D27" s="286">
        <v>40438.857999999993</v>
      </c>
      <c r="E27" s="286">
        <v>39265.99</v>
      </c>
      <c r="F27" s="286">
        <v>462214.66929999995</v>
      </c>
      <c r="G27" s="286">
        <v>439431.09589999996</v>
      </c>
      <c r="H27" s="286">
        <v>75.810760651376512</v>
      </c>
      <c r="I27" s="286">
        <v>76.545987806973784</v>
      </c>
      <c r="J27" s="286">
        <v>421775.81150000001</v>
      </c>
      <c r="K27" s="286">
        <v>400165.10609999998</v>
      </c>
      <c r="L27" s="286">
        <v>69.178127000147555</v>
      </c>
      <c r="M27" s="287">
        <v>69.706112330470077</v>
      </c>
    </row>
    <row r="28" spans="1:13" x14ac:dyDescent="0.25">
      <c r="A28" s="285" t="s">
        <v>181</v>
      </c>
      <c r="B28" s="286">
        <v>24468.277199999997</v>
      </c>
      <c r="C28" s="286">
        <v>23869.486999999997</v>
      </c>
      <c r="D28" s="286">
        <v>10994.205199999997</v>
      </c>
      <c r="E28" s="286">
        <v>10427.257099999999</v>
      </c>
      <c r="F28" s="286">
        <v>231277.16970000003</v>
      </c>
      <c r="G28" s="286">
        <v>216296.38700000002</v>
      </c>
      <c r="H28" s="286">
        <v>72.591782137885488</v>
      </c>
      <c r="I28" s="286">
        <v>73.042480754865792</v>
      </c>
      <c r="J28" s="286">
        <v>220282.96460000001</v>
      </c>
      <c r="K28" s="286">
        <v>205869.13</v>
      </c>
      <c r="L28" s="286">
        <v>66.335558853149877</v>
      </c>
      <c r="M28" s="287">
        <v>66.502429919481472</v>
      </c>
    </row>
    <row r="29" spans="1:13" x14ac:dyDescent="0.25">
      <c r="A29" s="285" t="s">
        <v>182</v>
      </c>
      <c r="B29" s="286">
        <v>296664.10430000001</v>
      </c>
      <c r="C29" s="286">
        <v>237516.23200000002</v>
      </c>
      <c r="D29" s="286">
        <v>169322.54610000001</v>
      </c>
      <c r="E29" s="286">
        <v>166783.68840000001</v>
      </c>
      <c r="F29" s="286">
        <v>3950729.8969999999</v>
      </c>
      <c r="G29" s="286">
        <v>3503050.3785000001</v>
      </c>
      <c r="H29" s="286">
        <v>73.82890695641089</v>
      </c>
      <c r="I29" s="286">
        <v>74.955658762050618</v>
      </c>
      <c r="J29" s="286">
        <v>3775099.7667</v>
      </c>
      <c r="K29" s="286">
        <v>3332961.2639000001</v>
      </c>
      <c r="L29" s="286">
        <v>69.167801079610754</v>
      </c>
      <c r="M29" s="287">
        <v>70.294635975105095</v>
      </c>
    </row>
    <row r="30" spans="1:13" x14ac:dyDescent="0.25">
      <c r="A30" s="285" t="s">
        <v>183</v>
      </c>
      <c r="B30" s="286">
        <v>161947.15680000003</v>
      </c>
      <c r="C30" s="286">
        <v>143108.3621</v>
      </c>
      <c r="D30" s="286">
        <v>144081.57170000003</v>
      </c>
      <c r="E30" s="286">
        <v>142829.96119999999</v>
      </c>
      <c r="F30" s="286">
        <v>2859698.9918</v>
      </c>
      <c r="G30" s="286">
        <v>2572350.38</v>
      </c>
      <c r="H30" s="286">
        <v>73.123176315662846</v>
      </c>
      <c r="I30" s="286">
        <v>73.845183618867125</v>
      </c>
      <c r="J30" s="286">
        <v>2713256.7368000001</v>
      </c>
      <c r="K30" s="286">
        <v>2427784.9549999996</v>
      </c>
      <c r="L30" s="286">
        <v>69.166000087968996</v>
      </c>
      <c r="M30" s="287">
        <v>69.689533750742612</v>
      </c>
    </row>
    <row r="31" spans="1:13" x14ac:dyDescent="0.25">
      <c r="A31" s="285" t="s">
        <v>184</v>
      </c>
      <c r="B31" s="286">
        <v>75585.5334</v>
      </c>
      <c r="C31" s="286">
        <v>64348.006600000001</v>
      </c>
      <c r="D31" s="286">
        <v>65137.142500000002</v>
      </c>
      <c r="E31" s="286">
        <v>63627.284599999999</v>
      </c>
      <c r="F31" s="286">
        <v>1155574.6394</v>
      </c>
      <c r="G31" s="286">
        <v>1000949.3619</v>
      </c>
      <c r="H31" s="286">
        <v>74.515788107037281</v>
      </c>
      <c r="I31" s="286">
        <v>77.025752489151571</v>
      </c>
      <c r="J31" s="286">
        <v>1090437.497</v>
      </c>
      <c r="K31" s="286">
        <v>937322.07740000007</v>
      </c>
      <c r="L31" s="286">
        <v>70.315500790679692</v>
      </c>
      <c r="M31" s="287">
        <v>72.129461373933836</v>
      </c>
    </row>
    <row r="32" spans="1:13" x14ac:dyDescent="0.25">
      <c r="A32" s="285" t="s">
        <v>185</v>
      </c>
      <c r="B32" s="286">
        <v>15735.39</v>
      </c>
      <c r="C32" s="286">
        <v>10793.6237</v>
      </c>
      <c r="D32" s="286">
        <v>10082.3951</v>
      </c>
      <c r="E32" s="286">
        <v>8059.2386999999999</v>
      </c>
      <c r="F32" s="286">
        <v>540529.49930000002</v>
      </c>
      <c r="G32" s="286">
        <v>492826.04810000001</v>
      </c>
      <c r="H32" s="286">
        <v>71.792034417037286</v>
      </c>
      <c r="I32" s="286">
        <v>72.570358987238748</v>
      </c>
      <c r="J32" s="286">
        <v>530447.1041</v>
      </c>
      <c r="K32" s="286">
        <v>484766.80929999996</v>
      </c>
      <c r="L32" s="286">
        <v>69.927879043628337</v>
      </c>
      <c r="M32" s="287">
        <v>71.097336064559443</v>
      </c>
    </row>
    <row r="33" spans="1:13" x14ac:dyDescent="0.25">
      <c r="A33" s="285" t="s">
        <v>186</v>
      </c>
      <c r="B33" s="286">
        <v>32372.297699999999</v>
      </c>
      <c r="C33" s="286">
        <v>24661.840400000001</v>
      </c>
      <c r="D33" s="286">
        <v>24799.202699999998</v>
      </c>
      <c r="E33" s="286">
        <v>24563.736100000002</v>
      </c>
      <c r="F33" s="286">
        <v>568916.62670000002</v>
      </c>
      <c r="G33" s="286">
        <v>471413.63909999997</v>
      </c>
      <c r="H33" s="286">
        <v>71.053798829164293</v>
      </c>
      <c r="I33" s="286">
        <v>71.734571504914513</v>
      </c>
      <c r="J33" s="286">
        <v>544127.9327</v>
      </c>
      <c r="K33" s="286">
        <v>446867.5428</v>
      </c>
      <c r="L33" s="286">
        <v>67.320112129654987</v>
      </c>
      <c r="M33" s="287">
        <v>67.986883238741598</v>
      </c>
    </row>
    <row r="34" spans="1:13" x14ac:dyDescent="0.25">
      <c r="A34" s="285" t="s">
        <v>187</v>
      </c>
      <c r="B34" s="286">
        <v>3531.5843999999997</v>
      </c>
      <c r="C34" s="286">
        <v>3018.9571999999998</v>
      </c>
      <c r="D34" s="286">
        <v>1351.7795999999998</v>
      </c>
      <c r="E34" s="286">
        <v>1858.3111999999999</v>
      </c>
      <c r="F34" s="286">
        <v>84951.344700000001</v>
      </c>
      <c r="G34" s="286">
        <v>76810.483999999997</v>
      </c>
      <c r="H34" s="286">
        <v>70.27113184511883</v>
      </c>
      <c r="I34" s="286">
        <v>71.407429427202047</v>
      </c>
      <c r="J34" s="286">
        <v>83599.565000000002</v>
      </c>
      <c r="K34" s="286">
        <v>74952.1728</v>
      </c>
      <c r="L34" s="286">
        <v>67.928124890063117</v>
      </c>
      <c r="M34" s="287">
        <v>68.936015087012024</v>
      </c>
    </row>
    <row r="35" spans="1:13" x14ac:dyDescent="0.25">
      <c r="A35" s="285" t="s">
        <v>188</v>
      </c>
      <c r="B35" s="286">
        <v>13098.988600000001</v>
      </c>
      <c r="C35" s="286">
        <v>11793.266</v>
      </c>
      <c r="D35" s="286">
        <v>2059.0162</v>
      </c>
      <c r="E35" s="286">
        <v>3722.9236999999994</v>
      </c>
      <c r="F35" s="286">
        <v>40819.603000000003</v>
      </c>
      <c r="G35" s="286">
        <v>37645.097900000001</v>
      </c>
      <c r="H35" s="186">
        <v>59.520813769247951</v>
      </c>
      <c r="I35" s="186">
        <v>62.11985017447266</v>
      </c>
      <c r="J35" s="286">
        <v>38760.586899999995</v>
      </c>
      <c r="K35" s="286">
        <v>33922.174299999999</v>
      </c>
      <c r="L35" s="186">
        <v>56.51847408858071</v>
      </c>
      <c r="M35" s="370">
        <v>55.976488378539898</v>
      </c>
    </row>
    <row r="36" spans="1:13" s="246" customFormat="1" x14ac:dyDescent="0.25">
      <c r="A36" s="288" t="s">
        <v>189</v>
      </c>
      <c r="B36" s="289">
        <v>1111952.2371</v>
      </c>
      <c r="C36" s="289">
        <v>947898.58049999992</v>
      </c>
      <c r="D36" s="289">
        <v>818535.91690000007</v>
      </c>
      <c r="E36" s="289">
        <v>775933.95460000006</v>
      </c>
      <c r="F36" s="289">
        <v>17222007.479000002</v>
      </c>
      <c r="G36" s="289">
        <v>15578582.015600001</v>
      </c>
      <c r="H36" s="289">
        <v>73.414127632380541</v>
      </c>
      <c r="I36" s="289">
        <v>74.314739744081052</v>
      </c>
      <c r="J36" s="289">
        <v>16394769.343699999</v>
      </c>
      <c r="K36" s="289">
        <v>14797019.7774</v>
      </c>
      <c r="L36" s="289">
        <v>69.289177851949205</v>
      </c>
      <c r="M36" s="290">
        <v>70.172750203549711</v>
      </c>
    </row>
    <row r="37" spans="1:13" x14ac:dyDescent="0.25">
      <c r="A37" s="285" t="s">
        <v>330</v>
      </c>
      <c r="B37" s="286">
        <v>1931714.3725000001</v>
      </c>
      <c r="C37" s="286">
        <v>1046765.4752000001</v>
      </c>
      <c r="D37" s="286">
        <v>-146537.68739999982</v>
      </c>
      <c r="E37" s="286">
        <v>406325.36690000002</v>
      </c>
      <c r="F37" s="286">
        <v>20485241.850999992</v>
      </c>
      <c r="G37" s="286">
        <v>8159441.8111999985</v>
      </c>
      <c r="H37" s="286">
        <v>68.379944987409104</v>
      </c>
      <c r="I37" s="286">
        <v>72.828688161793551</v>
      </c>
      <c r="J37" s="286">
        <v>20620914.157399997</v>
      </c>
      <c r="K37" s="286">
        <v>7720976.2350999992</v>
      </c>
      <c r="L37" s="286">
        <v>64.534330917823127</v>
      </c>
      <c r="M37" s="287">
        <v>65.342916507865453</v>
      </c>
    </row>
    <row r="38" spans="1:13" s="246" customFormat="1" ht="13.8" thickBot="1" x14ac:dyDescent="0.3">
      <c r="A38" s="242" t="s">
        <v>331</v>
      </c>
      <c r="B38" s="236">
        <v>3043666.6096000001</v>
      </c>
      <c r="C38" s="236">
        <v>1994664.0556999999</v>
      </c>
      <c r="D38" s="236">
        <v>671998.22950000025</v>
      </c>
      <c r="E38" s="236">
        <v>1182259.3215000001</v>
      </c>
      <c r="F38" s="236">
        <v>37707249.329999998</v>
      </c>
      <c r="G38" s="236">
        <v>23738023.8268</v>
      </c>
      <c r="H38" s="236">
        <v>70.590779439645161</v>
      </c>
      <c r="I38" s="236">
        <v>73.797148564315023</v>
      </c>
      <c r="J38" s="236">
        <v>37015683.501099996</v>
      </c>
      <c r="K38" s="236">
        <v>22517996.012499999</v>
      </c>
      <c r="L38" s="236">
        <v>66.557286169104813</v>
      </c>
      <c r="M38" s="237">
        <v>68.438247348157347</v>
      </c>
    </row>
    <row r="39" spans="1:13" ht="13.8" thickTop="1" x14ac:dyDescent="0.25"/>
    <row r="40" spans="1:13" x14ac:dyDescent="0.25">
      <c r="B40" s="284">
        <f t="shared" ref="B40:K42" si="0">B36/1000</f>
        <v>1111.9522371</v>
      </c>
      <c r="C40" s="284">
        <f t="shared" si="0"/>
        <v>947.89858049999998</v>
      </c>
      <c r="D40" s="284">
        <f t="shared" si="0"/>
        <v>818.53591690000007</v>
      </c>
      <c r="E40" s="284">
        <f t="shared" si="0"/>
        <v>775.93395460000011</v>
      </c>
      <c r="F40" s="284">
        <f t="shared" si="0"/>
        <v>17222.007479000004</v>
      </c>
      <c r="G40" s="284">
        <f t="shared" si="0"/>
        <v>15578.582015600001</v>
      </c>
      <c r="J40" s="284">
        <f t="shared" si="0"/>
        <v>16394.769343699998</v>
      </c>
      <c r="K40" s="284">
        <f t="shared" si="0"/>
        <v>14797.019777400001</v>
      </c>
    </row>
    <row r="41" spans="1:13" x14ac:dyDescent="0.25">
      <c r="B41" s="284">
        <f t="shared" ref="B41:E41" si="1">B37/1000</f>
        <v>1931.7143725000001</v>
      </c>
      <c r="C41" s="284">
        <f t="shared" si="1"/>
        <v>1046.7654752000001</v>
      </c>
      <c r="D41" s="284">
        <f t="shared" si="1"/>
        <v>-146.53768739999981</v>
      </c>
      <c r="E41" s="284">
        <f t="shared" si="1"/>
        <v>406.32536690000001</v>
      </c>
      <c r="F41" s="284">
        <f t="shared" si="0"/>
        <v>20485.241850999992</v>
      </c>
      <c r="G41" s="284">
        <f t="shared" si="0"/>
        <v>8159.4418111999985</v>
      </c>
      <c r="J41" s="284">
        <f t="shared" si="0"/>
        <v>20620.914157399999</v>
      </c>
      <c r="K41" s="284">
        <f t="shared" si="0"/>
        <v>7720.976235099999</v>
      </c>
    </row>
    <row r="42" spans="1:13" x14ac:dyDescent="0.25">
      <c r="B42" s="284">
        <f t="shared" si="0"/>
        <v>3043.6666095999999</v>
      </c>
      <c r="C42" s="284">
        <f t="shared" si="0"/>
        <v>1994.6640556999998</v>
      </c>
      <c r="D42" s="284">
        <f t="shared" si="0"/>
        <v>671.99822950000021</v>
      </c>
      <c r="E42" s="284">
        <f t="shared" si="0"/>
        <v>1182.2593215000002</v>
      </c>
      <c r="F42" s="284">
        <f t="shared" si="0"/>
        <v>37707.249329999999</v>
      </c>
      <c r="G42" s="284">
        <f t="shared" si="0"/>
        <v>23738.023826799999</v>
      </c>
      <c r="J42" s="284">
        <f t="shared" si="0"/>
        <v>37015.683501099993</v>
      </c>
      <c r="K42" s="284">
        <f t="shared" si="0"/>
        <v>22517.9960125</v>
      </c>
    </row>
  </sheetData>
  <autoFilter ref="A9:M38"/>
  <mergeCells count="19">
    <mergeCell ref="B6:B8"/>
    <mergeCell ref="J5:M5"/>
    <mergeCell ref="L6:M6"/>
    <mergeCell ref="L4:M4"/>
    <mergeCell ref="K1:M1"/>
    <mergeCell ref="L7:L8"/>
    <mergeCell ref="J6:K6"/>
    <mergeCell ref="A3:M3"/>
    <mergeCell ref="J7:J8"/>
    <mergeCell ref="D6:E6"/>
    <mergeCell ref="C7:C8"/>
    <mergeCell ref="D7:D8"/>
    <mergeCell ref="A5:A8"/>
    <mergeCell ref="B5:E5"/>
    <mergeCell ref="F5:I5"/>
    <mergeCell ref="F6:G6"/>
    <mergeCell ref="H6:I6"/>
    <mergeCell ref="F7:F8"/>
    <mergeCell ref="H7:H8"/>
  </mergeCells>
  <printOptions horizontalCentered="1"/>
  <pageMargins left="0" right="0" top="0.74803149606299213" bottom="0.35433070866141736" header="0.31496062992125984" footer="0.11811023622047245"/>
  <pageSetup paperSize="9" scale="9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</vt:i4>
      </vt:variant>
    </vt:vector>
  </HeadingPairs>
  <TitlesOfParts>
    <vt:vector size="30" baseType="lpstr">
      <vt:lpstr>1.1. Конс.</vt:lpstr>
      <vt:lpstr>1.2. Конс_16 к 17</vt:lpstr>
      <vt:lpstr>1.3. Бюджеты МО</vt:lpstr>
      <vt:lpstr>1.4. Доходы МО</vt:lpstr>
      <vt:lpstr>1.5. Межбюд.</vt:lpstr>
      <vt:lpstr>1.6. Кредит_МО</vt:lpstr>
      <vt:lpstr>3.1. Программы</vt:lpstr>
      <vt:lpstr>3.2. Не выполненные прогр.</vt:lpstr>
      <vt:lpstr>4.1. ФХД БУ И АУ_конс.</vt:lpstr>
      <vt:lpstr>4.2. ФХД_БУ И АУ_обл</vt:lpstr>
      <vt:lpstr>4.3. Долги_БУ и АУ_конс.</vt:lpstr>
      <vt:lpstr>4.4. Долги_БУ И АУ_обл</vt:lpstr>
      <vt:lpstr>Черн.</vt:lpstr>
      <vt:lpstr>Черн_кон.рас.</vt:lpstr>
      <vt:lpstr>'1.2. Конс_16 к 17'!Заголовки_для_печати</vt:lpstr>
      <vt:lpstr>'3.1. Программы'!Заголовки_для_печати</vt:lpstr>
      <vt:lpstr>'3.2. Не выполненные прогр.'!Заголовки_для_печати</vt:lpstr>
      <vt:lpstr>'1.1. Конс.'!Область_печати</vt:lpstr>
      <vt:lpstr>'1.2. Конс_16 к 17'!Область_печати</vt:lpstr>
      <vt:lpstr>'1.3. Бюджеты МО'!Область_печати</vt:lpstr>
      <vt:lpstr>'1.4. Доходы МО'!Область_печати</vt:lpstr>
      <vt:lpstr>'1.5. Межбюд.'!Область_печати</vt:lpstr>
      <vt:lpstr>'1.6. Кредит_МО'!Область_печати</vt:lpstr>
      <vt:lpstr>'3.1. Программы'!Область_печати</vt:lpstr>
      <vt:lpstr>'3.2. Не выполненные прогр.'!Область_печати</vt:lpstr>
      <vt:lpstr>'4.1. ФХД БУ И АУ_конс.'!Область_печати</vt:lpstr>
      <vt:lpstr>'4.2. ФХД_БУ И АУ_обл'!Область_печати</vt:lpstr>
      <vt:lpstr>'4.3. Долги_БУ и АУ_конс.'!Область_печати</vt:lpstr>
      <vt:lpstr>'4.4. Долги_БУ И АУ_обл'!Область_печати</vt:lpstr>
      <vt:lpstr>Черн_кон.рас.!Область_печати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Кичёв</dc:creator>
  <cp:lastModifiedBy>Калинин Сергей Фёдорович</cp:lastModifiedBy>
  <cp:lastPrinted>2017-11-24T09:06:07Z</cp:lastPrinted>
  <dcterms:created xsi:type="dcterms:W3CDTF">2017-08-14T11:43:51Z</dcterms:created>
  <dcterms:modified xsi:type="dcterms:W3CDTF">2017-11-30T08:51:02Z</dcterms:modified>
</cp:coreProperties>
</file>